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O:\CLIENTES\CLIENTES VARIOS\SYNERGYM\SUBASTAS\2025\10 OCTUBRE\ALZIRA\Varios\Presupuestos y diferencias\"/>
    </mc:Choice>
  </mc:AlternateContent>
  <xr:revisionPtr revIDLastSave="0" documentId="13_ncr:1_{CF6C7190-6DE0-4420-B3AF-27BFFCF00085}" xr6:coauthVersionLast="47" xr6:coauthVersionMax="47" xr10:uidLastSave="{00000000-0000-0000-0000-000000000000}"/>
  <bookViews>
    <workbookView xWindow="24288" yWindow="1248" windowWidth="17280" windowHeight="9960" xr2:uid="{00000000-000D-0000-FFFF-FFFF00000000}"/>
  </bookViews>
  <sheets>
    <sheet name="Hoja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81" i="1" l="1"/>
  <c r="J1681" i="1"/>
  <c r="L1678" i="1"/>
  <c r="K1678" i="1"/>
  <c r="M1678" i="1" s="1"/>
  <c r="L1682" i="1" s="1"/>
  <c r="K1675" i="1"/>
  <c r="J1675" i="1"/>
  <c r="L1672" i="1"/>
  <c r="K1672" i="1"/>
  <c r="M1672" i="1" s="1"/>
  <c r="L1676" i="1" s="1"/>
  <c r="J1669" i="1"/>
  <c r="J1668" i="1"/>
  <c r="J1667" i="1"/>
  <c r="J1666" i="1"/>
  <c r="J1665" i="1"/>
  <c r="J1664" i="1"/>
  <c r="J1663" i="1"/>
  <c r="K1669" i="1" s="1"/>
  <c r="K1659" i="1" s="1"/>
  <c r="M1659" i="1" s="1"/>
  <c r="L1659" i="1"/>
  <c r="K1658" i="1"/>
  <c r="K1655" i="1" s="1"/>
  <c r="M1655" i="1" s="1"/>
  <c r="J1658" i="1"/>
  <c r="L1655" i="1"/>
  <c r="K1654" i="1"/>
  <c r="J1654" i="1"/>
  <c r="L1651" i="1"/>
  <c r="K1651" i="1"/>
  <c r="M1651" i="1" s="1"/>
  <c r="J1650" i="1"/>
  <c r="J1649" i="1"/>
  <c r="J1648" i="1"/>
  <c r="K1650" i="1" s="1"/>
  <c r="K1644" i="1" s="1"/>
  <c r="M1644" i="1" s="1"/>
  <c r="J1647" i="1"/>
  <c r="L1644" i="1"/>
  <c r="J1643" i="1"/>
  <c r="J1642" i="1"/>
  <c r="J1641" i="1"/>
  <c r="K1643" i="1" s="1"/>
  <c r="K1638" i="1" s="1"/>
  <c r="M1638" i="1" s="1"/>
  <c r="L1638" i="1"/>
  <c r="K1637" i="1"/>
  <c r="K1634" i="1" s="1"/>
  <c r="M1634" i="1" s="1"/>
  <c r="J1637" i="1"/>
  <c r="L1634" i="1"/>
  <c r="J1633" i="1"/>
  <c r="K1633" i="1" s="1"/>
  <c r="K1630" i="1" s="1"/>
  <c r="M1630" i="1" s="1"/>
  <c r="L1630" i="1"/>
  <c r="K1629" i="1"/>
  <c r="K1626" i="1" s="1"/>
  <c r="M1626" i="1" s="1"/>
  <c r="J1629" i="1"/>
  <c r="L1626" i="1"/>
  <c r="J1625" i="1"/>
  <c r="K1625" i="1" s="1"/>
  <c r="K1622" i="1" s="1"/>
  <c r="M1622" i="1" s="1"/>
  <c r="L1622" i="1"/>
  <c r="K1621" i="1"/>
  <c r="J1621" i="1"/>
  <c r="M1618" i="1"/>
  <c r="L1618" i="1"/>
  <c r="K1618" i="1"/>
  <c r="J1617" i="1"/>
  <c r="K1617" i="1" s="1"/>
  <c r="K1614" i="1" s="1"/>
  <c r="M1614" i="1" s="1"/>
  <c r="L1614" i="1"/>
  <c r="J1613" i="1"/>
  <c r="K1613" i="1" s="1"/>
  <c r="K1610" i="1" s="1"/>
  <c r="M1610" i="1" s="1"/>
  <c r="L1610" i="1"/>
  <c r="K1609" i="1"/>
  <c r="K1605" i="1" s="1"/>
  <c r="M1605" i="1" s="1"/>
  <c r="J1609" i="1"/>
  <c r="J1608" i="1"/>
  <c r="L1605" i="1"/>
  <c r="J1604" i="1"/>
  <c r="K1604" i="1" s="1"/>
  <c r="K1601" i="1" s="1"/>
  <c r="M1601" i="1" s="1"/>
  <c r="L1601" i="1"/>
  <c r="K1600" i="1"/>
  <c r="K1597" i="1" s="1"/>
  <c r="M1597" i="1" s="1"/>
  <c r="J1600" i="1"/>
  <c r="L1597" i="1"/>
  <c r="J1596" i="1"/>
  <c r="K1596" i="1" s="1"/>
  <c r="K1593" i="1" s="1"/>
  <c r="M1593" i="1" s="1"/>
  <c r="L1593" i="1"/>
  <c r="K1592" i="1"/>
  <c r="J1592" i="1"/>
  <c r="M1589" i="1"/>
  <c r="L1589" i="1"/>
  <c r="K1589" i="1"/>
  <c r="J1588" i="1"/>
  <c r="K1588" i="1" s="1"/>
  <c r="K1585" i="1" s="1"/>
  <c r="M1585" i="1" s="1"/>
  <c r="L1585" i="1"/>
  <c r="J1584" i="1"/>
  <c r="K1584" i="1" s="1"/>
  <c r="K1581" i="1" s="1"/>
  <c r="M1581" i="1" s="1"/>
  <c r="L1581" i="1"/>
  <c r="J1577" i="1"/>
  <c r="K1577" i="1" s="1"/>
  <c r="K1574" i="1" s="1"/>
  <c r="M1574" i="1" s="1"/>
  <c r="L1574" i="1"/>
  <c r="K1573" i="1"/>
  <c r="K1570" i="1" s="1"/>
  <c r="M1570" i="1" s="1"/>
  <c r="J1573" i="1"/>
  <c r="L1570" i="1"/>
  <c r="J1569" i="1"/>
  <c r="K1569" i="1" s="1"/>
  <c r="K1566" i="1" s="1"/>
  <c r="M1566" i="1" s="1"/>
  <c r="L1566" i="1"/>
  <c r="K1565" i="1"/>
  <c r="J1565" i="1"/>
  <c r="M1562" i="1"/>
  <c r="L1562" i="1"/>
  <c r="K1562" i="1"/>
  <c r="J1561" i="1"/>
  <c r="J1560" i="1"/>
  <c r="J1559" i="1"/>
  <c r="J1558" i="1"/>
  <c r="J1557" i="1"/>
  <c r="J1556" i="1"/>
  <c r="J1555" i="1"/>
  <c r="J1554" i="1"/>
  <c r="K1561" i="1" s="1"/>
  <c r="K1551" i="1" s="1"/>
  <c r="M1551" i="1" s="1"/>
  <c r="L1551" i="1"/>
  <c r="J1550" i="1"/>
  <c r="J1549" i="1"/>
  <c r="K1550" i="1" s="1"/>
  <c r="K1545" i="1" s="1"/>
  <c r="M1545" i="1" s="1"/>
  <c r="L1545" i="1"/>
  <c r="K1544" i="1"/>
  <c r="K1535" i="1" s="1"/>
  <c r="M1535" i="1" s="1"/>
  <c r="J1544" i="1"/>
  <c r="J1543" i="1"/>
  <c r="J1542" i="1"/>
  <c r="J1540" i="1"/>
  <c r="J1539" i="1"/>
  <c r="L1535" i="1"/>
  <c r="K1534" i="1"/>
  <c r="J1534" i="1"/>
  <c r="L1531" i="1"/>
  <c r="M1531" i="1" s="1"/>
  <c r="K1531" i="1"/>
  <c r="J1528" i="1"/>
  <c r="K1528" i="1" s="1"/>
  <c r="K1525" i="1" s="1"/>
  <c r="M1525" i="1" s="1"/>
  <c r="L1525" i="1"/>
  <c r="J1524" i="1"/>
  <c r="K1524" i="1" s="1"/>
  <c r="K1521" i="1" s="1"/>
  <c r="M1521" i="1" s="1"/>
  <c r="L1521" i="1"/>
  <c r="K1520" i="1"/>
  <c r="K1517" i="1" s="1"/>
  <c r="M1517" i="1" s="1"/>
  <c r="J1520" i="1"/>
  <c r="L1517" i="1"/>
  <c r="K1516" i="1"/>
  <c r="J1516" i="1"/>
  <c r="L1513" i="1"/>
  <c r="M1513" i="1" s="1"/>
  <c r="K1513" i="1"/>
  <c r="J1512" i="1"/>
  <c r="K1512" i="1" s="1"/>
  <c r="K1509" i="1" s="1"/>
  <c r="M1509" i="1" s="1"/>
  <c r="L1509" i="1"/>
  <c r="J1508" i="1"/>
  <c r="K1508" i="1" s="1"/>
  <c r="K1505" i="1" s="1"/>
  <c r="M1505" i="1" s="1"/>
  <c r="L1505" i="1"/>
  <c r="K1504" i="1"/>
  <c r="K1501" i="1" s="1"/>
  <c r="M1501" i="1" s="1"/>
  <c r="J1504" i="1"/>
  <c r="L1501" i="1"/>
  <c r="K1500" i="1"/>
  <c r="K1497" i="1" s="1"/>
  <c r="M1497" i="1" s="1"/>
  <c r="J1500" i="1"/>
  <c r="L1497" i="1"/>
  <c r="J1496" i="1"/>
  <c r="K1496" i="1" s="1"/>
  <c r="K1493" i="1" s="1"/>
  <c r="M1493" i="1" s="1"/>
  <c r="L1493" i="1"/>
  <c r="K1492" i="1"/>
  <c r="K1489" i="1" s="1"/>
  <c r="M1489" i="1" s="1"/>
  <c r="J1492" i="1"/>
  <c r="L1489" i="1"/>
  <c r="J1488" i="1"/>
  <c r="K1488" i="1" s="1"/>
  <c r="K1485" i="1" s="1"/>
  <c r="M1485" i="1" s="1"/>
  <c r="L1485" i="1"/>
  <c r="K1484" i="1"/>
  <c r="J1484" i="1"/>
  <c r="M1481" i="1"/>
  <c r="L1481" i="1"/>
  <c r="K1481" i="1"/>
  <c r="J1480" i="1"/>
  <c r="K1480" i="1" s="1"/>
  <c r="K1477" i="1" s="1"/>
  <c r="M1477" i="1" s="1"/>
  <c r="L1477" i="1"/>
  <c r="J1476" i="1"/>
  <c r="K1476" i="1" s="1"/>
  <c r="K1473" i="1" s="1"/>
  <c r="M1473" i="1" s="1"/>
  <c r="L1473" i="1"/>
  <c r="J1470" i="1"/>
  <c r="K1470" i="1" s="1"/>
  <c r="K1467" i="1" s="1"/>
  <c r="M1467" i="1" s="1"/>
  <c r="L1467" i="1"/>
  <c r="K1466" i="1"/>
  <c r="J1466" i="1"/>
  <c r="M1463" i="1"/>
  <c r="L1463" i="1"/>
  <c r="K1463" i="1"/>
  <c r="J1462" i="1"/>
  <c r="K1462" i="1" s="1"/>
  <c r="K1459" i="1" s="1"/>
  <c r="M1459" i="1" s="1"/>
  <c r="L1459" i="1"/>
  <c r="J1458" i="1"/>
  <c r="K1458" i="1" s="1"/>
  <c r="K1455" i="1" s="1"/>
  <c r="M1455" i="1" s="1"/>
  <c r="L1455" i="1"/>
  <c r="K1454" i="1"/>
  <c r="K1451" i="1" s="1"/>
  <c r="M1451" i="1" s="1"/>
  <c r="J1454" i="1"/>
  <c r="L1451" i="1"/>
  <c r="K1450" i="1"/>
  <c r="J1450" i="1"/>
  <c r="L1447" i="1"/>
  <c r="M1447" i="1" s="1"/>
  <c r="K1447" i="1"/>
  <c r="J1446" i="1"/>
  <c r="K1446" i="1" s="1"/>
  <c r="K1443" i="1" s="1"/>
  <c r="M1443" i="1" s="1"/>
  <c r="L1443" i="1"/>
  <c r="J1442" i="1"/>
  <c r="K1442" i="1" s="1"/>
  <c r="K1439" i="1" s="1"/>
  <c r="M1439" i="1" s="1"/>
  <c r="L1439" i="1"/>
  <c r="K1438" i="1"/>
  <c r="K1435" i="1" s="1"/>
  <c r="M1435" i="1" s="1"/>
  <c r="J1438" i="1"/>
  <c r="L1435" i="1"/>
  <c r="K1434" i="1"/>
  <c r="K1431" i="1" s="1"/>
  <c r="M1431" i="1" s="1"/>
  <c r="J1434" i="1"/>
  <c r="L1431" i="1"/>
  <c r="J1430" i="1"/>
  <c r="K1430" i="1" s="1"/>
  <c r="K1427" i="1" s="1"/>
  <c r="M1427" i="1" s="1"/>
  <c r="L1427" i="1"/>
  <c r="K1426" i="1"/>
  <c r="K1423" i="1" s="1"/>
  <c r="M1423" i="1" s="1"/>
  <c r="J1426" i="1"/>
  <c r="L1423" i="1"/>
  <c r="J1422" i="1"/>
  <c r="K1422" i="1" s="1"/>
  <c r="K1419" i="1" s="1"/>
  <c r="M1419" i="1" s="1"/>
  <c r="L1419" i="1"/>
  <c r="J1418" i="1"/>
  <c r="J1417" i="1"/>
  <c r="K1418" i="1" s="1"/>
  <c r="K1414" i="1" s="1"/>
  <c r="M1414" i="1" s="1"/>
  <c r="L1414" i="1"/>
  <c r="J1413" i="1"/>
  <c r="J1412" i="1"/>
  <c r="K1413" i="1" s="1"/>
  <c r="K1409" i="1" s="1"/>
  <c r="M1409" i="1" s="1"/>
  <c r="L1409" i="1"/>
  <c r="K1408" i="1"/>
  <c r="J1408" i="1"/>
  <c r="M1405" i="1"/>
  <c r="L1405" i="1"/>
  <c r="K1405" i="1"/>
  <c r="J1404" i="1"/>
  <c r="K1404" i="1" s="1"/>
  <c r="K1401" i="1" s="1"/>
  <c r="M1401" i="1" s="1"/>
  <c r="L1401" i="1"/>
  <c r="J1400" i="1"/>
  <c r="K1400" i="1" s="1"/>
  <c r="K1397" i="1" s="1"/>
  <c r="M1397" i="1" s="1"/>
  <c r="L1397" i="1"/>
  <c r="K1396" i="1"/>
  <c r="K1393" i="1" s="1"/>
  <c r="M1393" i="1" s="1"/>
  <c r="J1396" i="1"/>
  <c r="L1393" i="1"/>
  <c r="J1392" i="1"/>
  <c r="J1391" i="1"/>
  <c r="K1392" i="1" s="1"/>
  <c r="K1388" i="1" s="1"/>
  <c r="M1388" i="1" s="1"/>
  <c r="L1388" i="1"/>
  <c r="K1387" i="1"/>
  <c r="K1384" i="1" s="1"/>
  <c r="M1384" i="1" s="1"/>
  <c r="J1387" i="1"/>
  <c r="L1384" i="1"/>
  <c r="K1379" i="1"/>
  <c r="K1376" i="1" s="1"/>
  <c r="M1376" i="1" s="1"/>
  <c r="J1379" i="1"/>
  <c r="L1376" i="1"/>
  <c r="K1375" i="1"/>
  <c r="J1375" i="1"/>
  <c r="L1372" i="1"/>
  <c r="M1372" i="1" s="1"/>
  <c r="K1372" i="1"/>
  <c r="J1371" i="1"/>
  <c r="J1370" i="1"/>
  <c r="K1371" i="1" s="1"/>
  <c r="K1367" i="1" s="1"/>
  <c r="M1367" i="1" s="1"/>
  <c r="L1367" i="1"/>
  <c r="J1366" i="1"/>
  <c r="K1366" i="1" s="1"/>
  <c r="K1363" i="1" s="1"/>
  <c r="M1363" i="1" s="1"/>
  <c r="L1363" i="1"/>
  <c r="K1362" i="1"/>
  <c r="J1362" i="1"/>
  <c r="M1359" i="1"/>
  <c r="L1359" i="1"/>
  <c r="K1359" i="1"/>
  <c r="J1358" i="1"/>
  <c r="K1358" i="1" s="1"/>
  <c r="K1355" i="1" s="1"/>
  <c r="M1355" i="1" s="1"/>
  <c r="L1355" i="1"/>
  <c r="J1354" i="1"/>
  <c r="K1354" i="1" s="1"/>
  <c r="K1351" i="1" s="1"/>
  <c r="M1351" i="1" s="1"/>
  <c r="L1351" i="1"/>
  <c r="K1350" i="1"/>
  <c r="K1347" i="1" s="1"/>
  <c r="M1347" i="1" s="1"/>
  <c r="J1350" i="1"/>
  <c r="L1347" i="1"/>
  <c r="K1346" i="1"/>
  <c r="J1346" i="1"/>
  <c r="L1343" i="1"/>
  <c r="M1343" i="1" s="1"/>
  <c r="K1343" i="1"/>
  <c r="J1342" i="1"/>
  <c r="K1342" i="1" s="1"/>
  <c r="K1339" i="1" s="1"/>
  <c r="M1339" i="1" s="1"/>
  <c r="L1339" i="1"/>
  <c r="J1338" i="1"/>
  <c r="K1338" i="1" s="1"/>
  <c r="K1335" i="1" s="1"/>
  <c r="M1335" i="1" s="1"/>
  <c r="L1335" i="1"/>
  <c r="K1334" i="1"/>
  <c r="K1330" i="1" s="1"/>
  <c r="M1330" i="1" s="1"/>
  <c r="J1334" i="1"/>
  <c r="J1333" i="1"/>
  <c r="L1330" i="1"/>
  <c r="J1329" i="1"/>
  <c r="K1329" i="1" s="1"/>
  <c r="K1326" i="1" s="1"/>
  <c r="M1326" i="1" s="1"/>
  <c r="L1326" i="1"/>
  <c r="J1325" i="1"/>
  <c r="K1325" i="1" s="1"/>
  <c r="K1321" i="1" s="1"/>
  <c r="M1321" i="1" s="1"/>
  <c r="J1324" i="1"/>
  <c r="L1321" i="1"/>
  <c r="K1320" i="1"/>
  <c r="K1317" i="1" s="1"/>
  <c r="M1317" i="1" s="1"/>
  <c r="J1320" i="1"/>
  <c r="L1317" i="1"/>
  <c r="J1316" i="1"/>
  <c r="K1316" i="1" s="1"/>
  <c r="K1313" i="1" s="1"/>
  <c r="M1313" i="1" s="1"/>
  <c r="L1313" i="1"/>
  <c r="K1312" i="1"/>
  <c r="K1308" i="1" s="1"/>
  <c r="M1308" i="1" s="1"/>
  <c r="J1312" i="1"/>
  <c r="J1311" i="1"/>
  <c r="L1308" i="1"/>
  <c r="J1307" i="1"/>
  <c r="J1306" i="1"/>
  <c r="J1305" i="1"/>
  <c r="K1307" i="1" s="1"/>
  <c r="K1302" i="1" s="1"/>
  <c r="M1302" i="1" s="1"/>
  <c r="L1302" i="1"/>
  <c r="J1299" i="1"/>
  <c r="K1299" i="1" s="1"/>
  <c r="K1296" i="1" s="1"/>
  <c r="M1296" i="1" s="1"/>
  <c r="L1296" i="1"/>
  <c r="J1295" i="1"/>
  <c r="J1294" i="1"/>
  <c r="K1295" i="1" s="1"/>
  <c r="K1291" i="1" s="1"/>
  <c r="M1291" i="1" s="1"/>
  <c r="L1291" i="1"/>
  <c r="J1290" i="1"/>
  <c r="K1290" i="1" s="1"/>
  <c r="K1287" i="1" s="1"/>
  <c r="M1287" i="1" s="1"/>
  <c r="L1287" i="1"/>
  <c r="K1286" i="1"/>
  <c r="K1283" i="1" s="1"/>
  <c r="M1283" i="1" s="1"/>
  <c r="J1286" i="1"/>
  <c r="L1283" i="1"/>
  <c r="K1282" i="1"/>
  <c r="K1278" i="1" s="1"/>
  <c r="M1278" i="1" s="1"/>
  <c r="J1282" i="1"/>
  <c r="J1281" i="1"/>
  <c r="L1278" i="1"/>
  <c r="J1277" i="1"/>
  <c r="K1277" i="1" s="1"/>
  <c r="K1274" i="1" s="1"/>
  <c r="M1274" i="1" s="1"/>
  <c r="L1274" i="1"/>
  <c r="K1273" i="1"/>
  <c r="K1270" i="1" s="1"/>
  <c r="M1270" i="1" s="1"/>
  <c r="J1273" i="1"/>
  <c r="L1270" i="1"/>
  <c r="K1269" i="1"/>
  <c r="J1269" i="1"/>
  <c r="L1266" i="1"/>
  <c r="M1266" i="1" s="1"/>
  <c r="K1266" i="1"/>
  <c r="J1265" i="1"/>
  <c r="K1265" i="1" s="1"/>
  <c r="K1262" i="1" s="1"/>
  <c r="M1262" i="1" s="1"/>
  <c r="L1262" i="1"/>
  <c r="J1261" i="1"/>
  <c r="K1261" i="1" s="1"/>
  <c r="K1258" i="1" s="1"/>
  <c r="M1258" i="1" s="1"/>
  <c r="L1258" i="1"/>
  <c r="K1257" i="1"/>
  <c r="K1252" i="1" s="1"/>
  <c r="M1252" i="1" s="1"/>
  <c r="J1257" i="1"/>
  <c r="J1256" i="1"/>
  <c r="J1255" i="1"/>
  <c r="L1252" i="1"/>
  <c r="J1251" i="1"/>
  <c r="K1251" i="1" s="1"/>
  <c r="K1248" i="1" s="1"/>
  <c r="M1248" i="1" s="1"/>
  <c r="L1248" i="1"/>
  <c r="K1247" i="1"/>
  <c r="K1244" i="1" s="1"/>
  <c r="M1244" i="1" s="1"/>
  <c r="J1247" i="1"/>
  <c r="L1244" i="1"/>
  <c r="K1243" i="1"/>
  <c r="K1239" i="1" s="1"/>
  <c r="M1239" i="1" s="1"/>
  <c r="J1243" i="1"/>
  <c r="J1242" i="1"/>
  <c r="L1239" i="1"/>
  <c r="J1238" i="1"/>
  <c r="K1238" i="1" s="1"/>
  <c r="K1235" i="1" s="1"/>
  <c r="M1235" i="1" s="1"/>
  <c r="L1235" i="1"/>
  <c r="K1234" i="1"/>
  <c r="K1231" i="1" s="1"/>
  <c r="M1231" i="1" s="1"/>
  <c r="J1234" i="1"/>
  <c r="L1231" i="1"/>
  <c r="J1230" i="1"/>
  <c r="J1229" i="1"/>
  <c r="J1228" i="1"/>
  <c r="J1227" i="1"/>
  <c r="J1226" i="1"/>
  <c r="J1224" i="1"/>
  <c r="K1230" i="1" s="1"/>
  <c r="K1221" i="1" s="1"/>
  <c r="M1221" i="1" s="1"/>
  <c r="L1221" i="1"/>
  <c r="J1220" i="1"/>
  <c r="J1219" i="1"/>
  <c r="K1220" i="1" s="1"/>
  <c r="K1215" i="1" s="1"/>
  <c r="M1215" i="1" s="1"/>
  <c r="J1218" i="1"/>
  <c r="L1215" i="1"/>
  <c r="J1214" i="1"/>
  <c r="K1214" i="1" s="1"/>
  <c r="K1211" i="1" s="1"/>
  <c r="M1211" i="1" s="1"/>
  <c r="L1211" i="1"/>
  <c r="J1210" i="1"/>
  <c r="J1209" i="1"/>
  <c r="K1210" i="1" s="1"/>
  <c r="K1206" i="1" s="1"/>
  <c r="M1206" i="1" s="1"/>
  <c r="L1206" i="1"/>
  <c r="J1205" i="1"/>
  <c r="J1204" i="1"/>
  <c r="K1205" i="1" s="1"/>
  <c r="K1201" i="1" s="1"/>
  <c r="M1201" i="1" s="1"/>
  <c r="L1201" i="1"/>
  <c r="J1200" i="1"/>
  <c r="K1200" i="1" s="1"/>
  <c r="K1197" i="1" s="1"/>
  <c r="M1197" i="1" s="1"/>
  <c r="L1197" i="1"/>
  <c r="J1194" i="1"/>
  <c r="K1194" i="1" s="1"/>
  <c r="K1191" i="1" s="1"/>
  <c r="M1191" i="1" s="1"/>
  <c r="L1191" i="1"/>
  <c r="K1190" i="1"/>
  <c r="J1190" i="1"/>
  <c r="L1187" i="1"/>
  <c r="M1187" i="1" s="1"/>
  <c r="K1187" i="1"/>
  <c r="J1186" i="1"/>
  <c r="K1186" i="1" s="1"/>
  <c r="K1183" i="1" s="1"/>
  <c r="M1183" i="1" s="1"/>
  <c r="L1183" i="1"/>
  <c r="J1182" i="1"/>
  <c r="K1182" i="1" s="1"/>
  <c r="K1179" i="1" s="1"/>
  <c r="M1179" i="1" s="1"/>
  <c r="L1179" i="1"/>
  <c r="K1178" i="1"/>
  <c r="K1175" i="1" s="1"/>
  <c r="M1175" i="1" s="1"/>
  <c r="J1178" i="1"/>
  <c r="L1175" i="1"/>
  <c r="K1174" i="1"/>
  <c r="K1171" i="1" s="1"/>
  <c r="M1171" i="1" s="1"/>
  <c r="J1174" i="1"/>
  <c r="L1171" i="1"/>
  <c r="J1170" i="1"/>
  <c r="K1170" i="1" s="1"/>
  <c r="K1167" i="1" s="1"/>
  <c r="M1167" i="1" s="1"/>
  <c r="L1167" i="1"/>
  <c r="J1164" i="1"/>
  <c r="K1164" i="1" s="1"/>
  <c r="K1161" i="1" s="1"/>
  <c r="M1161" i="1" s="1"/>
  <c r="L1161" i="1"/>
  <c r="K1160" i="1"/>
  <c r="K1157" i="1" s="1"/>
  <c r="M1157" i="1" s="1"/>
  <c r="J1160" i="1"/>
  <c r="L1157" i="1"/>
  <c r="K1156" i="1"/>
  <c r="K1153" i="1" s="1"/>
  <c r="M1153" i="1" s="1"/>
  <c r="J1156" i="1"/>
  <c r="L1153" i="1"/>
  <c r="J1152" i="1"/>
  <c r="K1152" i="1" s="1"/>
  <c r="K1149" i="1" s="1"/>
  <c r="M1149" i="1" s="1"/>
  <c r="L1149" i="1"/>
  <c r="K1148" i="1"/>
  <c r="K1145" i="1" s="1"/>
  <c r="M1145" i="1" s="1"/>
  <c r="J1148" i="1"/>
  <c r="L1145" i="1"/>
  <c r="J1144" i="1"/>
  <c r="K1144" i="1" s="1"/>
  <c r="K1141" i="1" s="1"/>
  <c r="M1141" i="1" s="1"/>
  <c r="L1141" i="1"/>
  <c r="K1140" i="1"/>
  <c r="J1140" i="1"/>
  <c r="M1137" i="1"/>
  <c r="L1137" i="1"/>
  <c r="K1137" i="1"/>
  <c r="J1136" i="1"/>
  <c r="K1136" i="1" s="1"/>
  <c r="K1133" i="1" s="1"/>
  <c r="M1133" i="1" s="1"/>
  <c r="L1133" i="1"/>
  <c r="J1132" i="1"/>
  <c r="K1132" i="1" s="1"/>
  <c r="K1129" i="1" s="1"/>
  <c r="M1129" i="1" s="1"/>
  <c r="L1129" i="1"/>
  <c r="J1128" i="1"/>
  <c r="K1128" i="1" s="1"/>
  <c r="K1125" i="1" s="1"/>
  <c r="M1125" i="1" s="1"/>
  <c r="L1125" i="1"/>
  <c r="K1124" i="1"/>
  <c r="J1124" i="1"/>
  <c r="L1121" i="1"/>
  <c r="M1121" i="1" s="1"/>
  <c r="K1121" i="1"/>
  <c r="J1120" i="1"/>
  <c r="K1120" i="1" s="1"/>
  <c r="K1117" i="1" s="1"/>
  <c r="M1117" i="1" s="1"/>
  <c r="L1117" i="1"/>
  <c r="J1116" i="1"/>
  <c r="K1116" i="1" s="1"/>
  <c r="K1113" i="1" s="1"/>
  <c r="M1113" i="1" s="1"/>
  <c r="L1113" i="1"/>
  <c r="K1112" i="1"/>
  <c r="K1109" i="1" s="1"/>
  <c r="M1109" i="1" s="1"/>
  <c r="J1112" i="1"/>
  <c r="L1109" i="1"/>
  <c r="K1108" i="1"/>
  <c r="K1105" i="1" s="1"/>
  <c r="M1105" i="1" s="1"/>
  <c r="J1108" i="1"/>
  <c r="L1105" i="1"/>
  <c r="J1104" i="1"/>
  <c r="K1104" i="1" s="1"/>
  <c r="K1101" i="1" s="1"/>
  <c r="M1101" i="1" s="1"/>
  <c r="L1101" i="1"/>
  <c r="K1100" i="1"/>
  <c r="K1097" i="1" s="1"/>
  <c r="M1097" i="1" s="1"/>
  <c r="J1100" i="1"/>
  <c r="L1097" i="1"/>
  <c r="J1096" i="1"/>
  <c r="K1096" i="1" s="1"/>
  <c r="K1093" i="1" s="1"/>
  <c r="M1093" i="1" s="1"/>
  <c r="L1093" i="1"/>
  <c r="K1092" i="1"/>
  <c r="J1092" i="1"/>
  <c r="M1089" i="1"/>
  <c r="L1089" i="1"/>
  <c r="K1089" i="1"/>
  <c r="J1088" i="1"/>
  <c r="K1088" i="1" s="1"/>
  <c r="K1085" i="1" s="1"/>
  <c r="M1085" i="1" s="1"/>
  <c r="L1085" i="1"/>
  <c r="J1084" i="1"/>
  <c r="K1084" i="1" s="1"/>
  <c r="K1081" i="1" s="1"/>
  <c r="M1081" i="1" s="1"/>
  <c r="L1165" i="1" s="1"/>
  <c r="L1081" i="1"/>
  <c r="K1076" i="1"/>
  <c r="K1073" i="1" s="1"/>
  <c r="M1073" i="1" s="1"/>
  <c r="J1076" i="1"/>
  <c r="L1073" i="1"/>
  <c r="K1072" i="1"/>
  <c r="K1069" i="1" s="1"/>
  <c r="M1069" i="1" s="1"/>
  <c r="J1072" i="1"/>
  <c r="L1069" i="1"/>
  <c r="J1068" i="1"/>
  <c r="K1068" i="1" s="1"/>
  <c r="K1065" i="1" s="1"/>
  <c r="M1065" i="1" s="1"/>
  <c r="L1065" i="1"/>
  <c r="K1064" i="1"/>
  <c r="K1061" i="1" s="1"/>
  <c r="M1061" i="1" s="1"/>
  <c r="J1064" i="1"/>
  <c r="L1061" i="1"/>
  <c r="J1060" i="1"/>
  <c r="K1060" i="1" s="1"/>
  <c r="K1057" i="1" s="1"/>
  <c r="M1057" i="1" s="1"/>
  <c r="L1057" i="1"/>
  <c r="K1056" i="1"/>
  <c r="J1056" i="1"/>
  <c r="M1053" i="1"/>
  <c r="L1053" i="1"/>
  <c r="K1053" i="1"/>
  <c r="J1050" i="1"/>
  <c r="K1050" i="1" s="1"/>
  <c r="K1047" i="1" s="1"/>
  <c r="M1047" i="1" s="1"/>
  <c r="L1047" i="1"/>
  <c r="K1046" i="1"/>
  <c r="K1043" i="1" s="1"/>
  <c r="M1043" i="1" s="1"/>
  <c r="J1046" i="1"/>
  <c r="L1043" i="1"/>
  <c r="J1042" i="1"/>
  <c r="K1042" i="1" s="1"/>
  <c r="K1039" i="1" s="1"/>
  <c r="M1039" i="1" s="1"/>
  <c r="L1039" i="1"/>
  <c r="K1038" i="1"/>
  <c r="J1038" i="1"/>
  <c r="M1035" i="1"/>
  <c r="L1035" i="1"/>
  <c r="K1035" i="1"/>
  <c r="J1034" i="1"/>
  <c r="K1034" i="1" s="1"/>
  <c r="K1031" i="1" s="1"/>
  <c r="M1031" i="1" s="1"/>
  <c r="L1031" i="1"/>
  <c r="J1030" i="1"/>
  <c r="K1030" i="1" s="1"/>
  <c r="K1027" i="1" s="1"/>
  <c r="M1027" i="1" s="1"/>
  <c r="L1027" i="1"/>
  <c r="J1026" i="1"/>
  <c r="K1026" i="1" s="1"/>
  <c r="K1023" i="1" s="1"/>
  <c r="M1023" i="1" s="1"/>
  <c r="L1023" i="1"/>
  <c r="K1022" i="1"/>
  <c r="J1022" i="1"/>
  <c r="L1019" i="1"/>
  <c r="M1019" i="1" s="1"/>
  <c r="K1019" i="1"/>
  <c r="J1016" i="1"/>
  <c r="K1016" i="1" s="1"/>
  <c r="K1013" i="1" s="1"/>
  <c r="M1013" i="1" s="1"/>
  <c r="L1013" i="1"/>
  <c r="J1012" i="1"/>
  <c r="K1012" i="1" s="1"/>
  <c r="K1007" i="1" s="1"/>
  <c r="M1007" i="1" s="1"/>
  <c r="J1011" i="1"/>
  <c r="J1010" i="1"/>
  <c r="L1007" i="1"/>
  <c r="J1006" i="1"/>
  <c r="J1005" i="1"/>
  <c r="J1004" i="1"/>
  <c r="J1003" i="1"/>
  <c r="J1002" i="1"/>
  <c r="J1001" i="1"/>
  <c r="J1000" i="1"/>
  <c r="K1006" i="1" s="1"/>
  <c r="K997" i="1" s="1"/>
  <c r="M997" i="1" s="1"/>
  <c r="L997" i="1"/>
  <c r="K996" i="1"/>
  <c r="K993" i="1" s="1"/>
  <c r="M993" i="1" s="1"/>
  <c r="J996" i="1"/>
  <c r="L993" i="1"/>
  <c r="J992" i="1"/>
  <c r="K992" i="1" s="1"/>
  <c r="K989" i="1" s="1"/>
  <c r="M989" i="1" s="1"/>
  <c r="L989" i="1"/>
  <c r="K988" i="1"/>
  <c r="K985" i="1" s="1"/>
  <c r="M985" i="1" s="1"/>
  <c r="J988" i="1"/>
  <c r="L985" i="1"/>
  <c r="J984" i="1"/>
  <c r="J983" i="1"/>
  <c r="J982" i="1"/>
  <c r="J981" i="1"/>
  <c r="J980" i="1"/>
  <c r="K984" i="1" s="1"/>
  <c r="K976" i="1" s="1"/>
  <c r="M976" i="1" s="1"/>
  <c r="J979" i="1"/>
  <c r="L976" i="1"/>
  <c r="J975" i="1"/>
  <c r="J974" i="1"/>
  <c r="K975" i="1" s="1"/>
  <c r="K971" i="1" s="1"/>
  <c r="M971" i="1" s="1"/>
  <c r="L971" i="1"/>
  <c r="K970" i="1"/>
  <c r="K967" i="1" s="1"/>
  <c r="M967" i="1" s="1"/>
  <c r="J970" i="1"/>
  <c r="L967" i="1"/>
  <c r="K966" i="1"/>
  <c r="J966" i="1"/>
  <c r="J965" i="1"/>
  <c r="J964" i="1"/>
  <c r="L961" i="1"/>
  <c r="K961" i="1"/>
  <c r="M961" i="1" s="1"/>
  <c r="K960" i="1"/>
  <c r="K957" i="1" s="1"/>
  <c r="M957" i="1" s="1"/>
  <c r="J960" i="1"/>
  <c r="L957" i="1"/>
  <c r="K954" i="1"/>
  <c r="J954" i="1"/>
  <c r="L951" i="1"/>
  <c r="M951" i="1" s="1"/>
  <c r="K951" i="1"/>
  <c r="J950" i="1"/>
  <c r="K950" i="1" s="1"/>
  <c r="K947" i="1" s="1"/>
  <c r="M947" i="1" s="1"/>
  <c r="L947" i="1"/>
  <c r="J946" i="1"/>
  <c r="K946" i="1" s="1"/>
  <c r="K943" i="1" s="1"/>
  <c r="M943" i="1" s="1"/>
  <c r="L943" i="1"/>
  <c r="K942" i="1"/>
  <c r="K939" i="1" s="1"/>
  <c r="M939" i="1" s="1"/>
  <c r="J942" i="1"/>
  <c r="L939" i="1"/>
  <c r="K938" i="1"/>
  <c r="K935" i="1" s="1"/>
  <c r="M935" i="1" s="1"/>
  <c r="J938" i="1"/>
  <c r="L935" i="1"/>
  <c r="J934" i="1"/>
  <c r="K934" i="1" s="1"/>
  <c r="K931" i="1" s="1"/>
  <c r="M931" i="1" s="1"/>
  <c r="L931" i="1"/>
  <c r="K930" i="1"/>
  <c r="K926" i="1" s="1"/>
  <c r="M926" i="1" s="1"/>
  <c r="J930" i="1"/>
  <c r="J929" i="1"/>
  <c r="L926" i="1"/>
  <c r="J925" i="1"/>
  <c r="J924" i="1"/>
  <c r="K925" i="1" s="1"/>
  <c r="K921" i="1" s="1"/>
  <c r="M921" i="1" s="1"/>
  <c r="L921" i="1"/>
  <c r="K920" i="1"/>
  <c r="K916" i="1" s="1"/>
  <c r="M916" i="1" s="1"/>
  <c r="J920" i="1"/>
  <c r="J919" i="1"/>
  <c r="L916" i="1"/>
  <c r="K915" i="1"/>
  <c r="J915" i="1"/>
  <c r="L912" i="1"/>
  <c r="M912" i="1" s="1"/>
  <c r="K912" i="1"/>
  <c r="J911" i="1"/>
  <c r="K911" i="1" s="1"/>
  <c r="K908" i="1" s="1"/>
  <c r="M908" i="1" s="1"/>
  <c r="L908" i="1"/>
  <c r="J907" i="1"/>
  <c r="J906" i="1"/>
  <c r="J905" i="1"/>
  <c r="J904" i="1"/>
  <c r="J903" i="1"/>
  <c r="J902" i="1"/>
  <c r="J901" i="1"/>
  <c r="J900" i="1"/>
  <c r="J899" i="1"/>
  <c r="J898" i="1"/>
  <c r="J897" i="1"/>
  <c r="J896" i="1"/>
  <c r="J895" i="1"/>
  <c r="J894" i="1"/>
  <c r="K907" i="1" s="1"/>
  <c r="K891" i="1" s="1"/>
  <c r="M891" i="1" s="1"/>
  <c r="L891" i="1"/>
  <c r="K890" i="1"/>
  <c r="J890" i="1"/>
  <c r="M887" i="1"/>
  <c r="L887" i="1"/>
  <c r="K887" i="1"/>
  <c r="J886" i="1"/>
  <c r="K886" i="1" s="1"/>
  <c r="K883" i="1" s="1"/>
  <c r="M883" i="1" s="1"/>
  <c r="L883" i="1"/>
  <c r="J882" i="1"/>
  <c r="K882" i="1" s="1"/>
  <c r="K879" i="1" s="1"/>
  <c r="M879" i="1" s="1"/>
  <c r="L879" i="1"/>
  <c r="J878" i="1"/>
  <c r="K878" i="1" s="1"/>
  <c r="K875" i="1" s="1"/>
  <c r="M875" i="1" s="1"/>
  <c r="L875" i="1"/>
  <c r="K874" i="1"/>
  <c r="J874" i="1"/>
  <c r="L871" i="1"/>
  <c r="M871" i="1" s="1"/>
  <c r="K871" i="1"/>
  <c r="J870" i="1"/>
  <c r="K870" i="1" s="1"/>
  <c r="K867" i="1" s="1"/>
  <c r="M867" i="1" s="1"/>
  <c r="L867" i="1"/>
  <c r="J866" i="1"/>
  <c r="K866" i="1" s="1"/>
  <c r="K863" i="1" s="1"/>
  <c r="M863" i="1" s="1"/>
  <c r="L863" i="1"/>
  <c r="K862" i="1"/>
  <c r="K859" i="1" s="1"/>
  <c r="M859" i="1" s="1"/>
  <c r="J862" i="1"/>
  <c r="L859" i="1"/>
  <c r="K858" i="1"/>
  <c r="K855" i="1" s="1"/>
  <c r="M855" i="1" s="1"/>
  <c r="J858" i="1"/>
  <c r="L855" i="1"/>
  <c r="J854" i="1"/>
  <c r="K854" i="1" s="1"/>
  <c r="K851" i="1" s="1"/>
  <c r="M851" i="1" s="1"/>
  <c r="L851" i="1"/>
  <c r="K850" i="1"/>
  <c r="K847" i="1" s="1"/>
  <c r="M847" i="1" s="1"/>
  <c r="J850" i="1"/>
  <c r="L847" i="1"/>
  <c r="J843" i="1"/>
  <c r="J842" i="1"/>
  <c r="K843" i="1" s="1"/>
  <c r="K839" i="1" s="1"/>
  <c r="M839" i="1" s="1"/>
  <c r="L839" i="1"/>
  <c r="K838" i="1"/>
  <c r="J838" i="1"/>
  <c r="L835" i="1"/>
  <c r="K835" i="1"/>
  <c r="M835" i="1" s="1"/>
  <c r="K834" i="1"/>
  <c r="J834" i="1"/>
  <c r="M831" i="1"/>
  <c r="L831" i="1"/>
  <c r="K831" i="1"/>
  <c r="J830" i="1"/>
  <c r="K830" i="1" s="1"/>
  <c r="K827" i="1" s="1"/>
  <c r="M827" i="1" s="1"/>
  <c r="L827" i="1"/>
  <c r="J826" i="1"/>
  <c r="K826" i="1" s="1"/>
  <c r="K823" i="1" s="1"/>
  <c r="M823" i="1" s="1"/>
  <c r="L823" i="1"/>
  <c r="J822" i="1"/>
  <c r="K822" i="1" s="1"/>
  <c r="K817" i="1" s="1"/>
  <c r="M817" i="1" s="1"/>
  <c r="J821" i="1"/>
  <c r="J820" i="1"/>
  <c r="L817" i="1"/>
  <c r="J816" i="1"/>
  <c r="K816" i="1" s="1"/>
  <c r="K813" i="1" s="1"/>
  <c r="M813" i="1" s="1"/>
  <c r="L813" i="1"/>
  <c r="J812" i="1"/>
  <c r="K812" i="1" s="1"/>
  <c r="K809" i="1" s="1"/>
  <c r="M809" i="1" s="1"/>
  <c r="L809" i="1"/>
  <c r="K808" i="1"/>
  <c r="J808" i="1"/>
  <c r="L805" i="1"/>
  <c r="M805" i="1" s="1"/>
  <c r="K805" i="1"/>
  <c r="J804" i="1"/>
  <c r="K804" i="1" s="1"/>
  <c r="K801" i="1" s="1"/>
  <c r="M801" i="1" s="1"/>
  <c r="L801" i="1"/>
  <c r="J800" i="1"/>
  <c r="K800" i="1" s="1"/>
  <c r="K797" i="1" s="1"/>
  <c r="M797" i="1" s="1"/>
  <c r="L797" i="1"/>
  <c r="K796" i="1"/>
  <c r="K793" i="1" s="1"/>
  <c r="M793" i="1" s="1"/>
  <c r="J796" i="1"/>
  <c r="L793" i="1"/>
  <c r="K792" i="1"/>
  <c r="J792" i="1"/>
  <c r="J791" i="1"/>
  <c r="J790" i="1"/>
  <c r="L787" i="1"/>
  <c r="K787" i="1"/>
  <c r="M787" i="1" s="1"/>
  <c r="K786" i="1"/>
  <c r="K783" i="1" s="1"/>
  <c r="M783" i="1" s="1"/>
  <c r="J786" i="1"/>
  <c r="L783" i="1"/>
  <c r="K782" i="1"/>
  <c r="K779" i="1" s="1"/>
  <c r="M779" i="1" s="1"/>
  <c r="J782" i="1"/>
  <c r="L779" i="1"/>
  <c r="J776" i="1"/>
  <c r="K776" i="1" s="1"/>
  <c r="K773" i="1" s="1"/>
  <c r="M773" i="1" s="1"/>
  <c r="L773" i="1"/>
  <c r="J772" i="1"/>
  <c r="J771" i="1"/>
  <c r="K772" i="1" s="1"/>
  <c r="K768" i="1" s="1"/>
  <c r="M768" i="1" s="1"/>
  <c r="L768" i="1"/>
  <c r="K767" i="1"/>
  <c r="J767" i="1"/>
  <c r="M764" i="1"/>
  <c r="L764" i="1"/>
  <c r="K764" i="1"/>
  <c r="J763" i="1"/>
  <c r="K763" i="1" s="1"/>
  <c r="K760" i="1" s="1"/>
  <c r="M760" i="1" s="1"/>
  <c r="L760" i="1"/>
  <c r="J759" i="1"/>
  <c r="K759" i="1" s="1"/>
  <c r="K755" i="1" s="1"/>
  <c r="M755" i="1" s="1"/>
  <c r="L755" i="1"/>
  <c r="J754" i="1"/>
  <c r="K754" i="1" s="1"/>
  <c r="K750" i="1" s="1"/>
  <c r="M750" i="1" s="1"/>
  <c r="L750" i="1"/>
  <c r="K749" i="1"/>
  <c r="J749" i="1"/>
  <c r="L746" i="1"/>
  <c r="M746" i="1" s="1"/>
  <c r="K746" i="1"/>
  <c r="J745" i="1"/>
  <c r="K745" i="1" s="1"/>
  <c r="K742" i="1" s="1"/>
  <c r="M742" i="1" s="1"/>
  <c r="L742" i="1"/>
  <c r="J741" i="1"/>
  <c r="J740" i="1"/>
  <c r="J739" i="1"/>
  <c r="J738" i="1"/>
  <c r="J737" i="1"/>
  <c r="J736" i="1"/>
  <c r="J735" i="1"/>
  <c r="J734" i="1"/>
  <c r="J733" i="1"/>
  <c r="J732" i="1"/>
  <c r="J731" i="1"/>
  <c r="J730" i="1"/>
  <c r="K741" i="1" s="1"/>
  <c r="K726" i="1" s="1"/>
  <c r="M726" i="1" s="1"/>
  <c r="L726" i="1"/>
  <c r="J725" i="1"/>
  <c r="K725" i="1" s="1"/>
  <c r="K722" i="1" s="1"/>
  <c r="M722" i="1" s="1"/>
  <c r="L722" i="1"/>
  <c r="J721" i="1"/>
  <c r="J720" i="1"/>
  <c r="K721" i="1" s="1"/>
  <c r="K715" i="1" s="1"/>
  <c r="M715" i="1" s="1"/>
  <c r="J719" i="1"/>
  <c r="J718" i="1"/>
  <c r="L715" i="1"/>
  <c r="J714" i="1"/>
  <c r="J713" i="1"/>
  <c r="J712" i="1"/>
  <c r="J711" i="1"/>
  <c r="J710" i="1"/>
  <c r="J709" i="1"/>
  <c r="J708" i="1"/>
  <c r="K714" i="1" s="1"/>
  <c r="K704" i="1" s="1"/>
  <c r="M704" i="1" s="1"/>
  <c r="J707" i="1"/>
  <c r="L704" i="1"/>
  <c r="K703" i="1"/>
  <c r="K694" i="1" s="1"/>
  <c r="M694" i="1" s="1"/>
  <c r="J703" i="1"/>
  <c r="J702" i="1"/>
  <c r="J701" i="1"/>
  <c r="J700" i="1"/>
  <c r="J699" i="1"/>
  <c r="J698" i="1"/>
  <c r="L694" i="1"/>
  <c r="J693" i="1"/>
  <c r="J692" i="1"/>
  <c r="K693" i="1" s="1"/>
  <c r="K689" i="1" s="1"/>
  <c r="M689" i="1" s="1"/>
  <c r="L689" i="1"/>
  <c r="J688" i="1"/>
  <c r="K688" i="1" s="1"/>
  <c r="K685" i="1" s="1"/>
  <c r="L685" i="1"/>
  <c r="J684" i="1"/>
  <c r="J683" i="1"/>
  <c r="J681" i="1"/>
  <c r="J680" i="1"/>
  <c r="K684" i="1" s="1"/>
  <c r="K676" i="1" s="1"/>
  <c r="M676" i="1" s="1"/>
  <c r="J679" i="1"/>
  <c r="L676" i="1"/>
  <c r="J675" i="1"/>
  <c r="J674" i="1"/>
  <c r="J673" i="1"/>
  <c r="J672" i="1"/>
  <c r="K675" i="1" s="1"/>
  <c r="K667" i="1" s="1"/>
  <c r="M667" i="1" s="1"/>
  <c r="J670" i="1"/>
  <c r="L667" i="1"/>
  <c r="J666" i="1"/>
  <c r="J665" i="1"/>
  <c r="J663" i="1"/>
  <c r="J662" i="1"/>
  <c r="K666" i="1" s="1"/>
  <c r="K658" i="1" s="1"/>
  <c r="M658" i="1" s="1"/>
  <c r="J661" i="1"/>
  <c r="L658" i="1"/>
  <c r="K657" i="1"/>
  <c r="K649" i="1" s="1"/>
  <c r="J657" i="1"/>
  <c r="J656" i="1"/>
  <c r="J655" i="1"/>
  <c r="J654" i="1"/>
  <c r="J652" i="1"/>
  <c r="L649" i="1"/>
  <c r="K646" i="1"/>
  <c r="J646" i="1"/>
  <c r="M643" i="1"/>
  <c r="L643" i="1"/>
  <c r="K643" i="1"/>
  <c r="J642" i="1"/>
  <c r="K642" i="1" s="1"/>
  <c r="K639" i="1" s="1"/>
  <c r="M639" i="1" s="1"/>
  <c r="L639" i="1"/>
  <c r="J638" i="1"/>
  <c r="K638" i="1" s="1"/>
  <c r="K635" i="1" s="1"/>
  <c r="M635" i="1" s="1"/>
  <c r="L635" i="1"/>
  <c r="J634" i="1"/>
  <c r="J633" i="1"/>
  <c r="J632" i="1"/>
  <c r="J631" i="1"/>
  <c r="L628" i="1"/>
  <c r="K627" i="1"/>
  <c r="K624" i="1" s="1"/>
  <c r="M624" i="1" s="1"/>
  <c r="J627" i="1"/>
  <c r="L624" i="1"/>
  <c r="J623" i="1"/>
  <c r="J622" i="1"/>
  <c r="J621" i="1"/>
  <c r="K623" i="1" s="1"/>
  <c r="K618" i="1" s="1"/>
  <c r="M618" i="1" s="1"/>
  <c r="L618" i="1"/>
  <c r="J617" i="1"/>
  <c r="J616" i="1"/>
  <c r="J614" i="1"/>
  <c r="J613" i="1"/>
  <c r="J612" i="1"/>
  <c r="J611" i="1"/>
  <c r="J610" i="1"/>
  <c r="K617" i="1" s="1"/>
  <c r="K602" i="1" s="1"/>
  <c r="M602" i="1" s="1"/>
  <c r="J609" i="1"/>
  <c r="J608" i="1"/>
  <c r="J607" i="1"/>
  <c r="J606" i="1"/>
  <c r="L602" i="1"/>
  <c r="J601" i="1"/>
  <c r="J599" i="1"/>
  <c r="J598" i="1"/>
  <c r="J597" i="1"/>
  <c r="K601" i="1" s="1"/>
  <c r="K592" i="1" s="1"/>
  <c r="M592" i="1" s="1"/>
  <c r="J596" i="1"/>
  <c r="L592" i="1"/>
  <c r="K591" i="1"/>
  <c r="K585" i="1" s="1"/>
  <c r="M585" i="1" s="1"/>
  <c r="J591" i="1"/>
  <c r="J590" i="1"/>
  <c r="J589" i="1"/>
  <c r="L585" i="1"/>
  <c r="K584" i="1"/>
  <c r="K577" i="1" s="1"/>
  <c r="M577" i="1" s="1"/>
  <c r="J584" i="1"/>
  <c r="J583" i="1"/>
  <c r="J582" i="1"/>
  <c r="J581" i="1"/>
  <c r="L577" i="1"/>
  <c r="J576" i="1"/>
  <c r="J575" i="1"/>
  <c r="J574" i="1"/>
  <c r="J573" i="1"/>
  <c r="J572" i="1"/>
  <c r="J571" i="1"/>
  <c r="J570" i="1"/>
  <c r="J569" i="1"/>
  <c r="K576" i="1" s="1"/>
  <c r="K565" i="1" s="1"/>
  <c r="M565" i="1" s="1"/>
  <c r="L565" i="1"/>
  <c r="J564" i="1"/>
  <c r="K564" i="1" s="1"/>
  <c r="K560" i="1" s="1"/>
  <c r="M560" i="1" s="1"/>
  <c r="L560" i="1"/>
  <c r="J559" i="1"/>
  <c r="J558" i="1"/>
  <c r="J557" i="1"/>
  <c r="K559" i="1" s="1"/>
  <c r="K553" i="1" s="1"/>
  <c r="M553" i="1" s="1"/>
  <c r="L553" i="1"/>
  <c r="K550" i="1"/>
  <c r="K547" i="1" s="1"/>
  <c r="M547" i="1" s="1"/>
  <c r="J550" i="1"/>
  <c r="L547" i="1"/>
  <c r="J546" i="1"/>
  <c r="J545" i="1"/>
  <c r="J544" i="1"/>
  <c r="J543" i="1"/>
  <c r="J542" i="1"/>
  <c r="J541" i="1"/>
  <c r="J540" i="1"/>
  <c r="K546" i="1" s="1"/>
  <c r="K537" i="1" s="1"/>
  <c r="M537" i="1" s="1"/>
  <c r="L537" i="1"/>
  <c r="J536" i="1"/>
  <c r="J535" i="1"/>
  <c r="J534" i="1"/>
  <c r="J533" i="1"/>
  <c r="J532" i="1"/>
  <c r="J530" i="1"/>
  <c r="J529" i="1"/>
  <c r="J528" i="1"/>
  <c r="J527" i="1"/>
  <c r="J526" i="1"/>
  <c r="J525" i="1"/>
  <c r="J524" i="1"/>
  <c r="J523" i="1"/>
  <c r="K536" i="1" s="1"/>
  <c r="K516" i="1" s="1"/>
  <c r="M516" i="1" s="1"/>
  <c r="J522" i="1"/>
  <c r="J521" i="1"/>
  <c r="L516" i="1"/>
  <c r="J515" i="1"/>
  <c r="J514" i="1"/>
  <c r="J513" i="1"/>
  <c r="J512" i="1"/>
  <c r="L508" i="1"/>
  <c r="J507" i="1"/>
  <c r="J506" i="1"/>
  <c r="J505" i="1"/>
  <c r="J504" i="1"/>
  <c r="J503" i="1"/>
  <c r="J502" i="1"/>
  <c r="J501" i="1"/>
  <c r="K507" i="1" s="1"/>
  <c r="L498" i="1"/>
  <c r="K498" i="1"/>
  <c r="M498" i="1" s="1"/>
  <c r="J497" i="1"/>
  <c r="J496" i="1"/>
  <c r="J495" i="1"/>
  <c r="J494" i="1"/>
  <c r="J493" i="1"/>
  <c r="J492" i="1"/>
  <c r="J491" i="1"/>
  <c r="J490" i="1"/>
  <c r="J489" i="1"/>
  <c r="J488" i="1"/>
  <c r="J487" i="1"/>
  <c r="K497" i="1" s="1"/>
  <c r="K484" i="1" s="1"/>
  <c r="M484" i="1" s="1"/>
  <c r="L484" i="1"/>
  <c r="K483" i="1"/>
  <c r="K479" i="1" s="1"/>
  <c r="M479" i="1" s="1"/>
  <c r="J483" i="1"/>
  <c r="L479" i="1"/>
  <c r="J478" i="1"/>
  <c r="J477" i="1"/>
  <c r="J476" i="1"/>
  <c r="J475" i="1"/>
  <c r="J474" i="1"/>
  <c r="J473" i="1"/>
  <c r="J472" i="1"/>
  <c r="J471" i="1"/>
  <c r="J470" i="1"/>
  <c r="J469" i="1"/>
  <c r="J468" i="1"/>
  <c r="J467" i="1"/>
  <c r="L463" i="1"/>
  <c r="J462" i="1"/>
  <c r="J461" i="1"/>
  <c r="J460" i="1"/>
  <c r="J459" i="1"/>
  <c r="J458" i="1"/>
  <c r="J457" i="1"/>
  <c r="J456" i="1"/>
  <c r="J455" i="1"/>
  <c r="L451" i="1"/>
  <c r="K450" i="1"/>
  <c r="J450" i="1"/>
  <c r="L446" i="1"/>
  <c r="M446" i="1" s="1"/>
  <c r="K446" i="1"/>
  <c r="J445" i="1"/>
  <c r="J444" i="1"/>
  <c r="J443" i="1"/>
  <c r="J442" i="1"/>
  <c r="J441" i="1"/>
  <c r="J440" i="1"/>
  <c r="J439" i="1"/>
  <c r="J438" i="1"/>
  <c r="J437" i="1"/>
  <c r="J436" i="1"/>
  <c r="J435" i="1"/>
  <c r="J434" i="1"/>
  <c r="J433" i="1"/>
  <c r="J432" i="1"/>
  <c r="J431" i="1"/>
  <c r="J430" i="1"/>
  <c r="J429" i="1"/>
  <c r="J428" i="1"/>
  <c r="J427" i="1"/>
  <c r="J426" i="1"/>
  <c r="J425" i="1"/>
  <c r="J424" i="1"/>
  <c r="J422" i="1"/>
  <c r="J420" i="1"/>
  <c r="J419" i="1"/>
  <c r="K445" i="1" s="1"/>
  <c r="K413" i="1" s="1"/>
  <c r="M413" i="1" s="1"/>
  <c r="J418" i="1"/>
  <c r="J417" i="1"/>
  <c r="L413" i="1"/>
  <c r="J412" i="1"/>
  <c r="J411" i="1"/>
  <c r="J410" i="1"/>
  <c r="J409" i="1"/>
  <c r="J408" i="1"/>
  <c r="K412" i="1" s="1"/>
  <c r="K405" i="1" s="1"/>
  <c r="M405" i="1"/>
  <c r="L405" i="1"/>
  <c r="K404" i="1"/>
  <c r="K395" i="1" s="1"/>
  <c r="M395" i="1" s="1"/>
  <c r="J404" i="1"/>
  <c r="J403" i="1"/>
  <c r="J402" i="1"/>
  <c r="J401" i="1"/>
  <c r="J400" i="1"/>
  <c r="J399" i="1"/>
  <c r="L395" i="1"/>
  <c r="K394" i="1"/>
  <c r="J394" i="1"/>
  <c r="L391" i="1"/>
  <c r="K391" i="1"/>
  <c r="M391" i="1" s="1"/>
  <c r="J390" i="1"/>
  <c r="J389" i="1"/>
  <c r="J388" i="1"/>
  <c r="J387" i="1"/>
  <c r="J386" i="1"/>
  <c r="L383" i="1"/>
  <c r="J382" i="1"/>
  <c r="J381" i="1"/>
  <c r="K382" i="1" s="1"/>
  <c r="K372" i="1" s="1"/>
  <c r="M372" i="1" s="1"/>
  <c r="J380" i="1"/>
  <c r="J379" i="1"/>
  <c r="J378" i="1"/>
  <c r="J377" i="1"/>
  <c r="J376" i="1"/>
  <c r="L372" i="1"/>
  <c r="K369" i="1"/>
  <c r="J369" i="1"/>
  <c r="L366" i="1"/>
  <c r="M366" i="1" s="1"/>
  <c r="K366" i="1"/>
  <c r="J365" i="1"/>
  <c r="K365" i="1" s="1"/>
  <c r="K362" i="1" s="1"/>
  <c r="M362" i="1" s="1"/>
  <c r="L362" i="1"/>
  <c r="J361" i="1"/>
  <c r="K361" i="1" s="1"/>
  <c r="K358" i="1" s="1"/>
  <c r="M358" i="1" s="1"/>
  <c r="L358" i="1"/>
  <c r="K357" i="1"/>
  <c r="K354" i="1" s="1"/>
  <c r="J357" i="1"/>
  <c r="L354" i="1"/>
  <c r="M354" i="1" s="1"/>
  <c r="J353" i="1"/>
  <c r="K353" i="1" s="1"/>
  <c r="K350" i="1" s="1"/>
  <c r="L350" i="1"/>
  <c r="J349" i="1"/>
  <c r="K349" i="1" s="1"/>
  <c r="K346" i="1" s="1"/>
  <c r="M346" i="1" s="1"/>
  <c r="L346" i="1"/>
  <c r="K345" i="1"/>
  <c r="K342" i="1" s="1"/>
  <c r="M342" i="1" s="1"/>
  <c r="J345" i="1"/>
  <c r="L342" i="1"/>
  <c r="K341" i="1"/>
  <c r="J341" i="1"/>
  <c r="J340" i="1"/>
  <c r="J339" i="1"/>
  <c r="L335" i="1"/>
  <c r="K335" i="1"/>
  <c r="M335" i="1" s="1"/>
  <c r="K334" i="1"/>
  <c r="J334" i="1"/>
  <c r="J333" i="1"/>
  <c r="J332" i="1"/>
  <c r="J331" i="1"/>
  <c r="J330" i="1"/>
  <c r="J329" i="1"/>
  <c r="L326" i="1"/>
  <c r="K326" i="1"/>
  <c r="M326" i="1" s="1"/>
  <c r="J325" i="1"/>
  <c r="J324" i="1"/>
  <c r="J323" i="1"/>
  <c r="K325" i="1" s="1"/>
  <c r="K320" i="1" s="1"/>
  <c r="M320" i="1" s="1"/>
  <c r="L320" i="1"/>
  <c r="K319" i="1"/>
  <c r="K316" i="1" s="1"/>
  <c r="M316" i="1" s="1"/>
  <c r="J319" i="1"/>
  <c r="L316" i="1"/>
  <c r="J315" i="1"/>
  <c r="J314" i="1"/>
  <c r="J313" i="1"/>
  <c r="J312" i="1"/>
  <c r="J311" i="1"/>
  <c r="J310" i="1"/>
  <c r="J309" i="1"/>
  <c r="J308" i="1"/>
  <c r="J307" i="1"/>
  <c r="J306" i="1"/>
  <c r="J305" i="1"/>
  <c r="J304" i="1"/>
  <c r="J303" i="1"/>
  <c r="J302" i="1"/>
  <c r="L299" i="1"/>
  <c r="J298" i="1"/>
  <c r="J297" i="1"/>
  <c r="J296" i="1"/>
  <c r="J295" i="1"/>
  <c r="J294" i="1"/>
  <c r="J293" i="1"/>
  <c r="L290" i="1"/>
  <c r="J289" i="1"/>
  <c r="K289" i="1" s="1"/>
  <c r="K286" i="1" s="1"/>
  <c r="L286" i="1"/>
  <c r="J285" i="1"/>
  <c r="K285" i="1" s="1"/>
  <c r="L282" i="1"/>
  <c r="K282" i="1"/>
  <c r="M282" i="1" s="1"/>
  <c r="J278" i="1"/>
  <c r="J277" i="1"/>
  <c r="J276" i="1"/>
  <c r="J275" i="1"/>
  <c r="K278" i="1" s="1"/>
  <c r="K272" i="1" s="1"/>
  <c r="L272" i="1"/>
  <c r="M272" i="1" s="1"/>
  <c r="J271" i="1"/>
  <c r="J270" i="1"/>
  <c r="J269" i="1"/>
  <c r="J268" i="1"/>
  <c r="K271" i="1" s="1"/>
  <c r="K264" i="1" s="1"/>
  <c r="M264" i="1" s="1"/>
  <c r="L264" i="1"/>
  <c r="J263" i="1"/>
  <c r="K263" i="1" s="1"/>
  <c r="K260" i="1" s="1"/>
  <c r="M260" i="1"/>
  <c r="L260" i="1"/>
  <c r="J259" i="1"/>
  <c r="J258" i="1"/>
  <c r="K259" i="1" s="1"/>
  <c r="K251" i="1" s="1"/>
  <c r="M251" i="1" s="1"/>
  <c r="J257" i="1"/>
  <c r="J256" i="1"/>
  <c r="J255" i="1"/>
  <c r="L251" i="1"/>
  <c r="K250" i="1"/>
  <c r="K247" i="1" s="1"/>
  <c r="M247" i="1" s="1"/>
  <c r="J250" i="1"/>
  <c r="L247" i="1"/>
  <c r="K246" i="1"/>
  <c r="J246" i="1"/>
  <c r="L243" i="1"/>
  <c r="K243" i="1"/>
  <c r="M243" i="1" s="1"/>
  <c r="J242" i="1"/>
  <c r="K242" i="1" s="1"/>
  <c r="K239" i="1" s="1"/>
  <c r="M239" i="1"/>
  <c r="L239" i="1"/>
  <c r="K238" i="1"/>
  <c r="K235" i="1" s="1"/>
  <c r="M235" i="1" s="1"/>
  <c r="J238" i="1"/>
  <c r="L235" i="1"/>
  <c r="J234" i="1"/>
  <c r="K234" i="1" s="1"/>
  <c r="L231" i="1"/>
  <c r="K231" i="1"/>
  <c r="M231" i="1" s="1"/>
  <c r="K230" i="1"/>
  <c r="J230" i="1"/>
  <c r="L227" i="1"/>
  <c r="K227" i="1"/>
  <c r="M227" i="1" s="1"/>
  <c r="K226" i="1"/>
  <c r="J226" i="1"/>
  <c r="L223" i="1"/>
  <c r="M223" i="1" s="1"/>
  <c r="K223" i="1"/>
  <c r="J222" i="1"/>
  <c r="K222" i="1" s="1"/>
  <c r="K219" i="1" s="1"/>
  <c r="M219" i="1" s="1"/>
  <c r="L219" i="1"/>
  <c r="J218" i="1"/>
  <c r="K218" i="1" s="1"/>
  <c r="K215" i="1" s="1"/>
  <c r="M215" i="1" s="1"/>
  <c r="L215" i="1"/>
  <c r="K214" i="1"/>
  <c r="K211" i="1" s="1"/>
  <c r="M211" i="1" s="1"/>
  <c r="J214" i="1"/>
  <c r="L211" i="1"/>
  <c r="J210" i="1"/>
  <c r="J209" i="1"/>
  <c r="K210" i="1" s="1"/>
  <c r="K205" i="1" s="1"/>
  <c r="M205" i="1" s="1"/>
  <c r="L205" i="1"/>
  <c r="J204" i="1"/>
  <c r="J203" i="1"/>
  <c r="J202" i="1"/>
  <c r="J201" i="1"/>
  <c r="K204" i="1" s="1"/>
  <c r="L197" i="1"/>
  <c r="K197" i="1"/>
  <c r="M197" i="1" s="1"/>
  <c r="J196" i="1"/>
  <c r="K196" i="1" s="1"/>
  <c r="K193" i="1" s="1"/>
  <c r="M193" i="1" s="1"/>
  <c r="L193" i="1"/>
  <c r="K192" i="1"/>
  <c r="K188" i="1" s="1"/>
  <c r="J192" i="1"/>
  <c r="J191" i="1"/>
  <c r="M188" i="1"/>
  <c r="L188" i="1"/>
  <c r="J187" i="1"/>
  <c r="J186" i="1"/>
  <c r="K187" i="1" s="1"/>
  <c r="K183" i="1" s="1"/>
  <c r="M183" i="1" s="1"/>
  <c r="L183" i="1"/>
  <c r="K182" i="1"/>
  <c r="K175" i="1" s="1"/>
  <c r="M175" i="1" s="1"/>
  <c r="J182" i="1"/>
  <c r="J181" i="1"/>
  <c r="J180" i="1"/>
  <c r="J179" i="1"/>
  <c r="L175" i="1"/>
  <c r="K172" i="1"/>
  <c r="K168" i="1" s="1"/>
  <c r="J172" i="1"/>
  <c r="L168" i="1"/>
  <c r="M168" i="1" s="1"/>
  <c r="J167" i="1"/>
  <c r="K167" i="1" s="1"/>
  <c r="K164" i="1" s="1"/>
  <c r="L164" i="1"/>
  <c r="K161" i="1"/>
  <c r="J161" i="1"/>
  <c r="J160" i="1"/>
  <c r="J158" i="1"/>
  <c r="L154" i="1"/>
  <c r="K154" i="1"/>
  <c r="M154" i="1" s="1"/>
  <c r="J153" i="1"/>
  <c r="J152" i="1"/>
  <c r="K153" i="1" s="1"/>
  <c r="K149" i="1" s="1"/>
  <c r="M149" i="1" s="1"/>
  <c r="L149" i="1"/>
  <c r="K148" i="1"/>
  <c r="K143" i="1" s="1"/>
  <c r="M143" i="1" s="1"/>
  <c r="J148" i="1"/>
  <c r="J147" i="1"/>
  <c r="J146" i="1"/>
  <c r="L143" i="1"/>
  <c r="J142" i="1"/>
  <c r="J141" i="1"/>
  <c r="K142" i="1" s="1"/>
  <c r="L138" i="1"/>
  <c r="K138" i="1"/>
  <c r="M138" i="1" s="1"/>
  <c r="J137" i="1"/>
  <c r="J136" i="1"/>
  <c r="J135" i="1"/>
  <c r="J134" i="1"/>
  <c r="L130" i="1"/>
  <c r="J129" i="1"/>
  <c r="J128" i="1"/>
  <c r="J127" i="1"/>
  <c r="J126" i="1"/>
  <c r="J125" i="1"/>
  <c r="J124" i="1"/>
  <c r="K129" i="1" s="1"/>
  <c r="K120" i="1" s="1"/>
  <c r="M120" i="1" s="1"/>
  <c r="L120" i="1"/>
  <c r="J119" i="1"/>
  <c r="J118" i="1"/>
  <c r="J117" i="1"/>
  <c r="J116" i="1"/>
  <c r="J115" i="1"/>
  <c r="L111" i="1"/>
  <c r="J108" i="1"/>
  <c r="J107" i="1"/>
  <c r="J106" i="1"/>
  <c r="J105" i="1"/>
  <c r="K108" i="1" s="1"/>
  <c r="K100" i="1" s="1"/>
  <c r="M100" i="1" s="1"/>
  <c r="L109" i="1" s="1"/>
  <c r="J104" i="1"/>
  <c r="L100" i="1"/>
  <c r="J96" i="1"/>
  <c r="J95" i="1"/>
  <c r="J93" i="1"/>
  <c r="J92" i="1"/>
  <c r="K96" i="1" s="1"/>
  <c r="K87" i="1" s="1"/>
  <c r="M87" i="1" s="1"/>
  <c r="J91" i="1"/>
  <c r="L87" i="1"/>
  <c r="J86" i="1"/>
  <c r="K86" i="1" s="1"/>
  <c r="K83" i="1" s="1"/>
  <c r="M83" i="1" s="1"/>
  <c r="L83" i="1"/>
  <c r="K82" i="1"/>
  <c r="J82" i="1"/>
  <c r="L79" i="1"/>
  <c r="K79" i="1"/>
  <c r="M79" i="1" s="1"/>
  <c r="K78" i="1"/>
  <c r="J78" i="1"/>
  <c r="L74" i="1"/>
  <c r="M74" i="1" s="1"/>
  <c r="K74" i="1"/>
  <c r="K73" i="1"/>
  <c r="K68" i="1" s="1"/>
  <c r="M68" i="1" s="1"/>
  <c r="J73" i="1"/>
  <c r="L68" i="1"/>
  <c r="L66" i="1"/>
  <c r="M66" i="1" s="1"/>
  <c r="K66" i="1"/>
  <c r="K62" i="1"/>
  <c r="J62" i="1"/>
  <c r="M59" i="1"/>
  <c r="L63" i="1" s="1"/>
  <c r="L59" i="1"/>
  <c r="K59" i="1"/>
  <c r="L57" i="1"/>
  <c r="J56" i="1"/>
  <c r="K56" i="1" s="1"/>
  <c r="K53" i="1" s="1"/>
  <c r="M53" i="1"/>
  <c r="L53" i="1"/>
  <c r="J50" i="1"/>
  <c r="K50" i="1" s="1"/>
  <c r="L46" i="1"/>
  <c r="K46" i="1"/>
  <c r="M46" i="1" s="1"/>
  <c r="K45" i="1"/>
  <c r="K42" i="1" s="1"/>
  <c r="M42" i="1" s="1"/>
  <c r="J45" i="1"/>
  <c r="L42" i="1"/>
  <c r="K41" i="1"/>
  <c r="J41" i="1"/>
  <c r="L38" i="1"/>
  <c r="K38" i="1"/>
  <c r="M38" i="1" s="1"/>
  <c r="J37" i="1"/>
  <c r="J36" i="1"/>
  <c r="J35" i="1"/>
  <c r="J34" i="1"/>
  <c r="J33" i="1"/>
  <c r="J32" i="1"/>
  <c r="J31" i="1"/>
  <c r="J30" i="1"/>
  <c r="L26" i="1"/>
  <c r="J23" i="1"/>
  <c r="J22" i="1"/>
  <c r="K23" i="1" s="1"/>
  <c r="K19" i="1" s="1"/>
  <c r="M19" i="1"/>
  <c r="L24" i="1" s="1"/>
  <c r="M24" i="1" s="1"/>
  <c r="L19" i="1"/>
  <c r="L18" i="1"/>
  <c r="M18" i="1" s="1"/>
  <c r="K16" i="1"/>
  <c r="K11" i="1" s="1"/>
  <c r="M11" i="1" s="1"/>
  <c r="J16" i="1"/>
  <c r="J15" i="1"/>
  <c r="L11" i="1"/>
  <c r="K10" i="1"/>
  <c r="K7" i="1" s="1"/>
  <c r="J10" i="1"/>
  <c r="L7" i="1"/>
  <c r="M7" i="1" s="1"/>
  <c r="L17" i="1" s="1"/>
  <c r="L58" i="1" l="1"/>
  <c r="M58" i="1" s="1"/>
  <c r="M63" i="1"/>
  <c r="L279" i="1"/>
  <c r="M17" i="1"/>
  <c r="L6" i="1"/>
  <c r="M6" i="1" s="1"/>
  <c r="M109" i="1"/>
  <c r="L99" i="1"/>
  <c r="M99" i="1" s="1"/>
  <c r="L1670" i="1"/>
  <c r="M1165" i="1"/>
  <c r="L1080" i="1"/>
  <c r="M1080" i="1" s="1"/>
  <c r="L1471" i="1"/>
  <c r="M286" i="1"/>
  <c r="L370" i="1" s="1"/>
  <c r="M649" i="1"/>
  <c r="K390" i="1"/>
  <c r="K383" i="1" s="1"/>
  <c r="M383" i="1" s="1"/>
  <c r="L551" i="1" s="1"/>
  <c r="L955" i="1"/>
  <c r="L1017" i="1"/>
  <c r="M685" i="1"/>
  <c r="L1578" i="1"/>
  <c r="K315" i="1"/>
  <c r="K299" i="1" s="1"/>
  <c r="M299" i="1" s="1"/>
  <c r="L97" i="1"/>
  <c r="L1195" i="1"/>
  <c r="M1682" i="1"/>
  <c r="L1677" i="1"/>
  <c r="M1677" i="1" s="1"/>
  <c r="L1671" i="1"/>
  <c r="M1671" i="1" s="1"/>
  <c r="M1676" i="1"/>
  <c r="K119" i="1"/>
  <c r="K111" i="1" s="1"/>
  <c r="M111" i="1" s="1"/>
  <c r="L844" i="1"/>
  <c r="L1051" i="1"/>
  <c r="K478" i="1"/>
  <c r="K463" i="1" s="1"/>
  <c r="M463" i="1" s="1"/>
  <c r="L1380" i="1"/>
  <c r="M350" i="1"/>
  <c r="M164" i="1"/>
  <c r="L173" i="1" s="1"/>
  <c r="L1300" i="1"/>
  <c r="L1529" i="1"/>
  <c r="L52" i="1"/>
  <c r="M52" i="1" s="1"/>
  <c r="M57" i="1"/>
  <c r="K137" i="1"/>
  <c r="K130" i="1" s="1"/>
  <c r="M130" i="1" s="1"/>
  <c r="K298" i="1"/>
  <c r="K290" i="1" s="1"/>
  <c r="M290" i="1" s="1"/>
  <c r="K37" i="1"/>
  <c r="K26" i="1" s="1"/>
  <c r="M26" i="1" s="1"/>
  <c r="L51" i="1" s="1"/>
  <c r="K462" i="1"/>
  <c r="K451" i="1" s="1"/>
  <c r="M451" i="1" s="1"/>
  <c r="K515" i="1"/>
  <c r="K508" i="1" s="1"/>
  <c r="M508" i="1" s="1"/>
  <c r="K634" i="1"/>
  <c r="K628" i="1" s="1"/>
  <c r="M628" i="1" s="1"/>
  <c r="L647" i="1" s="1"/>
  <c r="L1077" i="1"/>
  <c r="L281" i="1" l="1"/>
  <c r="M281" i="1" s="1"/>
  <c r="M370" i="1"/>
  <c r="M647" i="1"/>
  <c r="L552" i="1"/>
  <c r="M552" i="1" s="1"/>
  <c r="M551" i="1"/>
  <c r="L371" i="1"/>
  <c r="M371" i="1" s="1"/>
  <c r="M1529" i="1"/>
  <c r="L1472" i="1"/>
  <c r="M1472" i="1" s="1"/>
  <c r="L1383" i="1"/>
  <c r="M1383" i="1" s="1"/>
  <c r="M1471" i="1"/>
  <c r="L1579" i="1" s="1"/>
  <c r="M1380" i="1"/>
  <c r="L1381" i="1" s="1"/>
  <c r="L1301" i="1"/>
  <c r="M1301" i="1" s="1"/>
  <c r="M1017" i="1"/>
  <c r="L956" i="1"/>
  <c r="M956" i="1" s="1"/>
  <c r="L778" i="1"/>
  <c r="M778" i="1" s="1"/>
  <c r="M844" i="1"/>
  <c r="M1195" i="1"/>
  <c r="L1166" i="1"/>
  <c r="M1166" i="1" s="1"/>
  <c r="M173" i="1"/>
  <c r="L163" i="1"/>
  <c r="M163" i="1" s="1"/>
  <c r="L1052" i="1"/>
  <c r="M1052" i="1" s="1"/>
  <c r="M1077" i="1"/>
  <c r="M1670" i="1"/>
  <c r="L1580" i="1"/>
  <c r="M1580" i="1" s="1"/>
  <c r="M1578" i="1"/>
  <c r="L1530" i="1"/>
  <c r="M1530" i="1" s="1"/>
  <c r="M1051" i="1"/>
  <c r="L1018" i="1"/>
  <c r="M1018" i="1" s="1"/>
  <c r="L25" i="1"/>
  <c r="M25" i="1" s="1"/>
  <c r="M51" i="1"/>
  <c r="M955" i="1"/>
  <c r="L846" i="1"/>
  <c r="M846" i="1" s="1"/>
  <c r="L64" i="1"/>
  <c r="L162" i="1"/>
  <c r="L1196" i="1"/>
  <c r="M1196" i="1" s="1"/>
  <c r="M1300" i="1"/>
  <c r="L65" i="1"/>
  <c r="M65" i="1" s="1"/>
  <c r="M97" i="1"/>
  <c r="L777" i="1"/>
  <c r="M279" i="1"/>
  <c r="L174" i="1"/>
  <c r="M174" i="1" s="1"/>
  <c r="L1079" i="1" l="1"/>
  <c r="M1079" i="1" s="1"/>
  <c r="M1381" i="1"/>
  <c r="L1382" i="1"/>
  <c r="M1382" i="1" s="1"/>
  <c r="M1579" i="1"/>
  <c r="L1078" i="1"/>
  <c r="L648" i="1"/>
  <c r="M648" i="1" s="1"/>
  <c r="M777" i="1"/>
  <c r="L5" i="1"/>
  <c r="M5" i="1" s="1"/>
  <c r="M64" i="1"/>
  <c r="M162" i="1"/>
  <c r="L280" i="1" s="1"/>
  <c r="L110" i="1"/>
  <c r="M110" i="1" s="1"/>
  <c r="M280" i="1" l="1"/>
  <c r="L1683" i="1" s="1"/>
  <c r="L98" i="1"/>
  <c r="M98" i="1" s="1"/>
  <c r="M1078" i="1"/>
  <c r="L845" i="1"/>
  <c r="M845" i="1" s="1"/>
  <c r="M1683" i="1" l="1"/>
  <c r="L4" i="1"/>
  <c r="M4" i="1" s="1"/>
</calcChain>
</file>

<file path=xl/sharedStrings.xml><?xml version="1.0" encoding="utf-8"?>
<sst xmlns="http://schemas.openxmlformats.org/spreadsheetml/2006/main" count="4076" uniqueCount="4076">
  <si>
    <t>Obra:</t>
  </si>
  <si>
    <t>SG Alcira - Entrega</t>
  </si>
  <si>
    <t>Presupuesto</t>
  </si>
  <si>
    <t>% C.I.</t>
  </si>
  <si>
    <t>Código</t>
  </si>
  <si>
    <t>Tipo</t>
  </si>
  <si>
    <t>Ud</t>
  </si>
  <si>
    <t>Resumen</t>
  </si>
  <si>
    <t>Cantidad</t>
  </si>
  <si>
    <t>Precio (€)</t>
  </si>
  <si>
    <t>Importe (€)</t>
  </si>
  <si>
    <t>SGV0016.03</t>
  </si>
  <si>
    <t>Capítulo</t>
  </si>
  <si>
    <t>SG Alcira - Entrega</t>
  </si>
  <si>
    <t>SG01</t>
  </si>
  <si>
    <t>Capítulo</t>
  </si>
  <si>
    <t>Demoliciones y trabajos previos</t>
  </si>
  <si>
    <t>SG0101</t>
  </si>
  <si>
    <t>Capítulo</t>
  </si>
  <si>
    <t>Demolici«n Fachada</t>
  </si>
  <si>
    <t>I_REP_REJ</t>
  </si>
  <si>
    <t>Partida</t>
  </si>
  <si>
    <t>m2</t>
  </si>
  <si>
    <t>Reparaci«n apuertura tras demolici«n de cierre metßlico</t>
  </si>
  <si>
    <t>Reparaci«n apuertura tras demolici«n de cierre metßlico</t>
  </si>
  <si>
    <t>Uds.</t>
  </si>
  <si>
    <t>Largo</t>
  </si>
  <si>
    <t>Ancho</t>
  </si>
  <si>
    <t>Alto</t>
  </si>
  <si>
    <t>Parcial</t>
  </si>
  <si>
    <t>Subtotal</t>
  </si>
  <si>
    <t>FACHADA PRINCIPAL</t>
  </si>
  <si>
    <t>I_CH.AR</t>
  </si>
  <si>
    <t>Partida</t>
  </si>
  <si>
    <t>m2</t>
  </si>
  <si>
    <t>Limpieza de fachada mediante chorro de agua</t>
  </si>
  <si>
    <t>Proyecci«n mediante chorro de agua sobre paramento, eliminando contaminantes, capa de mortero de cemento y partØculas sueltas del soporte, para proceder posteriormente a la aplicaci«n de un revestimiento. Medida la superficie realmente ejecutada.</t>
  </si>
  <si>
    <t>Uds.</t>
  </si>
  <si>
    <t>Largo</t>
  </si>
  <si>
    <t>Ancho</t>
  </si>
  <si>
    <t>Alto</t>
  </si>
  <si>
    <t>Parcial</t>
  </si>
  <si>
    <t>Subtotal</t>
  </si>
  <si>
    <t>PREVISIËN</t>
  </si>
  <si>
    <t>0</t>
  </si>
  <si>
    <t>FACHADA PRINCIPAL</t>
  </si>
  <si>
    <t>SG0101</t>
  </si>
  <si>
    <t>PRE</t>
  </si>
  <si>
    <t>Capítulo</t>
  </si>
  <si>
    <t>Demolici«n Estructura</t>
  </si>
  <si>
    <t>01010EA</t>
  </si>
  <si>
    <t>Partida</t>
  </si>
  <si>
    <t>m_</t>
  </si>
  <si>
    <t>Adecuaci«n rampa mediante picado</t>
  </si>
  <si>
    <t>Adecuaci«n de rampa mediante picado de mßximo 10 cm, incluidos revestimientos superiores, con martillo neumßtico, y carga manual sobre cami«n o contenedor. Se medirß la superficie realmente adecuada seg·n especificaciones del Proyecto.</t>
  </si>
  <si>
    <t>Uds.</t>
  </si>
  <si>
    <t>Largo</t>
  </si>
  <si>
    <t>Ancho</t>
  </si>
  <si>
    <t>Alto</t>
  </si>
  <si>
    <t>Parcial</t>
  </si>
  <si>
    <t>Subtotal</t>
  </si>
  <si>
    <t>ENTRADA</t>
  </si>
  <si>
    <t>ACCESOS/ SALIDA EVACUACIËN</t>
  </si>
  <si>
    <t>PRE</t>
  </si>
  <si>
    <t>SG0103</t>
  </si>
  <si>
    <t>Capítulo</t>
  </si>
  <si>
    <t>Demolici«n Alba±ilerØa</t>
  </si>
  <si>
    <t>01019</t>
  </si>
  <si>
    <t>Partida</t>
  </si>
  <si>
    <t>m_</t>
  </si>
  <si>
    <t>Desmontaje de cierre metßlico</t>
  </si>
  <si>
    <t>Desmontaje de cierre metßlico enrollable de mßs de 6 m_ de superficie, con medios manuales, sin deteriorar los elementos constructivos a los que estß sujeto, y carga manual sobre cami«n o contenedor. El precio incluye el desmontaje de los mecanismos, motores y demßs accesorios. Se medirß la superficie realmente desmontada seg·n especificaciones del Proyecto.</t>
  </si>
  <si>
    <t>Uds.</t>
  </si>
  <si>
    <t>Largo</t>
  </si>
  <si>
    <t>Ancho</t>
  </si>
  <si>
    <t>Alto</t>
  </si>
  <si>
    <t>Parcial</t>
  </si>
  <si>
    <t>Subtotal</t>
  </si>
  <si>
    <t>PERSIANAS MET_LICAS</t>
  </si>
  <si>
    <t>0</t>
  </si>
  <si>
    <t>01040</t>
  </si>
  <si>
    <t>Partida</t>
  </si>
  <si>
    <t>m_</t>
  </si>
  <si>
    <t>Desmontaje de carpinterØa exterior acristalada</t>
  </si>
  <si>
    <t>Levantado de carpinterØa acristalada de cualquier tipo, con medios manuales, sin deteriorar los elementos constructivos a los que estß sujeta, y carga manual sobre cami«n o contenedor. El precio incluye el levantado de las hojas, de los marcos, de los tapajuntas y de los herrajes. Se medirß la superficie realmente desmontada seg·n especificaciones del Proyecto.</t>
  </si>
  <si>
    <t>Uds.</t>
  </si>
  <si>
    <t>Largo</t>
  </si>
  <si>
    <t>Ancho</t>
  </si>
  <si>
    <t>Alto</t>
  </si>
  <si>
    <t>Parcial</t>
  </si>
  <si>
    <t>Subtotal</t>
  </si>
  <si>
    <t>VENTANAS CIRCULARES</t>
  </si>
  <si>
    <t>I_POL.FA</t>
  </si>
  <si>
    <t>Partida</t>
  </si>
  <si>
    <t>m</t>
  </si>
  <si>
    <t>Demolici«n pollete fachada</t>
  </si>
  <si>
    <t>Demolici«n de pollete en fachada incluyendo impermeabilizaci«n posterior
Demolici«n manual de pollete existente en fachada incluyendo medios auxiliares protecci«n de elementos colindantes y limpieza de la zona de trabajo
Posteriormente se realizarß la reparaci«n de la zona afectada y la aplicaci«n de sistema de impermeabilizaci«n garantizando la continuidad de la impermeabilizaci«n con los paramentos verticales y horizontales existentes
NOTA: VALORAMOS PARTIDA ALZADA AL DESCONOCER LOS TRABAJOS A REALIZAR.</t>
  </si>
  <si>
    <t>Uds.</t>
  </si>
  <si>
    <t>Largo</t>
  </si>
  <si>
    <t>Ancho</t>
  </si>
  <si>
    <t>Alto</t>
  </si>
  <si>
    <t>Parcial</t>
  </si>
  <si>
    <t>Subtotal</t>
  </si>
  <si>
    <t>POLLETE FACHADA</t>
  </si>
  <si>
    <t>01031C</t>
  </si>
  <si>
    <t>Partida</t>
  </si>
  <si>
    <t>m_</t>
  </si>
  <si>
    <t>Demolici«n de partici«n interior de fßbrica revestida e&lt;11.5cm</t>
  </si>
  <si>
    <t>Demolici«n de partici«n interior de fßbrica revestida, incluso rodapiÚs, alicatados y revestimientos, formada por ladrillo hueco sencillo de hasta 11,5cm de espesor, con medios manuales, sin afectar a la estabilidad de los elementos constructivos contiguos, y carga manual sobre cami«n o contenedor. El precio incluye el desmontaje previo de las hojas de la carpinterØa. Se medirß la superficie realmente demolida seg·n especificaciones del Proyecto.</t>
  </si>
  <si>
    <t>Uds.</t>
  </si>
  <si>
    <t>Largo</t>
  </si>
  <si>
    <t>Ancho</t>
  </si>
  <si>
    <t>Alto</t>
  </si>
  <si>
    <t>Parcial</t>
  </si>
  <si>
    <t>Subtotal</t>
  </si>
  <si>
    <t>PLANTA BAJA</t>
  </si>
  <si>
    <t>0</t>
  </si>
  <si>
    <t>DEMOLICIËN CONDUCTOS AEROTERMOS</t>
  </si>
  <si>
    <t>SG0103</t>
  </si>
  <si>
    <t>SG0104</t>
  </si>
  <si>
    <t>Capítulo</t>
  </si>
  <si>
    <t>Demolici«n Varios</t>
  </si>
  <si>
    <t>I_LIMP</t>
  </si>
  <si>
    <t>Partida</t>
  </si>
  <si>
    <t>m_</t>
  </si>
  <si>
    <t>Limpieza de escombros con medios manuales</t>
  </si>
  <si>
    <t>Previsi«n de limpieza de escombros con medios manuales. Local afectado por la dana.</t>
  </si>
  <si>
    <t>Uds.</t>
  </si>
  <si>
    <t>Largo</t>
  </si>
  <si>
    <t>Ancho</t>
  </si>
  <si>
    <t>Alto</t>
  </si>
  <si>
    <t>Parcial</t>
  </si>
  <si>
    <t>Subtotal</t>
  </si>
  <si>
    <t>PREVISIËN</t>
  </si>
  <si>
    <t>SG0104</t>
  </si>
  <si>
    <t>SG0105</t>
  </si>
  <si>
    <t>Capítulo</t>
  </si>
  <si>
    <t>Instalaciones</t>
  </si>
  <si>
    <t>I_CUADRO</t>
  </si>
  <si>
    <t>Partida</t>
  </si>
  <si>
    <t>PA</t>
  </si>
  <si>
    <t>Desmontaje de instalaci«n del cuadro</t>
  </si>
  <si>
    <t>Desmontaje de cuadro, con medios manuales, y carga manual sobre cami«n o contenedor. Medida la partida al alza seg·n especificaciones de Proyecto.</t>
  </si>
  <si>
    <t>Uds.</t>
  </si>
  <si>
    <t>Largo</t>
  </si>
  <si>
    <t>Ancho</t>
  </si>
  <si>
    <t>Alto</t>
  </si>
  <si>
    <t>Parcial</t>
  </si>
  <si>
    <t>Subtotal</t>
  </si>
  <si>
    <t>SG0105</t>
  </si>
  <si>
    <t>SG01</t>
  </si>
  <si>
    <t>SG02</t>
  </si>
  <si>
    <t>Capítulo</t>
  </si>
  <si>
    <t>Estructuras</t>
  </si>
  <si>
    <t>I_NOTAS</t>
  </si>
  <si>
    <t>Partida</t>
  </si>
  <si>
    <t>(PREVISIËN). A FALTA DE RECIBIR ESTUDIO ESTRUCTURAL</t>
  </si>
  <si>
    <t>(PREVISIËN). A FALTA DE RECIBIR ESTUDIO ESTRUCTURAL</t>
  </si>
  <si>
    <t>020268B</t>
  </si>
  <si>
    <t>Partida</t>
  </si>
  <si>
    <t>kg</t>
  </si>
  <si>
    <t>Acero S275 JR en placa de anclaje</t>
  </si>
  <si>
    <t>Acero S 275 JR en placa de anclaje mediante mortero 51 de retracci«n ligeramente expansivo tipo SIKAGROUT y pernos de 16mm de dißmetro con adhesivo SIKA ANUMORFIX 3001 o HILTI-HIT-RE580, incluso corte elaboraci«n y montaje, capa de imprimaci«n antioxidante y p.p. de elementos de uni«n y ayudas de alba±ilerØa; construido seg·n NCSR-02, C«digo Estructuraly CTE. Medido en peso nominal. Seg·n especificaciones y detalle de proyecto.</t>
  </si>
  <si>
    <t>Uds.</t>
  </si>
  <si>
    <t>Largo</t>
  </si>
  <si>
    <t>Ancho</t>
  </si>
  <si>
    <t>Alto</t>
  </si>
  <si>
    <t>Parcial</t>
  </si>
  <si>
    <t>Subtotal</t>
  </si>
  <si>
    <t>NOTA: PREVISIËN A FALTA DE ESTUDIO ESTRUCTURA</t>
  </si>
  <si>
    <t>0</t>
  </si>
  <si>
    <t>PLACA ANCLAJE (hormig«n existente)</t>
  </si>
  <si>
    <t>0</t>
  </si>
  <si>
    <t>E001</t>
  </si>
  <si>
    <t>Partida</t>
  </si>
  <si>
    <t>u</t>
  </si>
  <si>
    <t>Perno conector de tornillo y placa dentada tecnaria CTCEM14/040</t>
  </si>
  <si>
    <t>Suministro y colocaci«n de perno conector compuesto por tornillo y placa dentada tecnaria CTCEM 14/040, incluso tuercas y arandelas acero 6.8, elementos auxiliares, mano de obra y maquinaria. Medida la unidad totalmente ejecutada.</t>
  </si>
  <si>
    <t>Uds.</t>
  </si>
  <si>
    <t>Largo</t>
  </si>
  <si>
    <t>Ancho</t>
  </si>
  <si>
    <t>Alto</t>
  </si>
  <si>
    <t>Parcial</t>
  </si>
  <si>
    <t>Subtotal</t>
  </si>
  <si>
    <t>NOTA: PREVISIËN A FALTA DE ESTUDIO ESTRUCTURA</t>
  </si>
  <si>
    <t>0</t>
  </si>
  <si>
    <t>PLACA (Pilar con hormig«n)</t>
  </si>
  <si>
    <t>020269</t>
  </si>
  <si>
    <t>Partida</t>
  </si>
  <si>
    <t>m_</t>
  </si>
  <si>
    <t>Bancada de tramex para instalaciones</t>
  </si>
  <si>
    <t>Bancada metalica para apoyo de bombas de calor y unidades exteriores de climatizaci«n, realizada mediante rejilla electrosoldada formada por pletina de acero galvanizado, de 30x2 mm, formando cuadrØcula de 30x30 mm y bastidor con uniones electrosoldadas. Incluso p/p de patas de agarre de 500 mm de altura. Elaboraci«n y fijado en obra mediante atornillado en obra con tornillos de acero, sylomer en los apoyos y ajuste final en obra. Medida la superficie realmente ejecutada.
NOTA: EL PRECIO SOLO INCLUYE EL TRAMEX, NO LAS PATAS AL NO DISPONER DE DOCUMENTACION. UNA VEZ SE OBTENGA PLANO DE DETALLE PASAREMOS VALORACIÓN DEFINITIVA.</t>
  </si>
  <si>
    <t>Uds.</t>
  </si>
  <si>
    <t>Largo</t>
  </si>
  <si>
    <t>Ancho</t>
  </si>
  <si>
    <t>Alto</t>
  </si>
  <si>
    <t>Parcial</t>
  </si>
  <si>
    <t>Subtotal</t>
  </si>
  <si>
    <t>SALA PCI</t>
  </si>
  <si>
    <t>EHX011</t>
  </si>
  <si>
    <t>Partida</t>
  </si>
  <si>
    <t>m_</t>
  </si>
  <si>
    <t>Forjado de losa mixta con chapa colaborante. e=10cm</t>
  </si>
  <si>
    <t>Forjado de losa mixta, canto 10 cm, con chapa colaborante de acero galvanizado de 0,75 mm de espesor, 44 mm de canto y 172 mm de intereje, y capa de hormig«n armado realizada con hormig«n HA-25/B/20/IIa fabricado en central, y vertido con cubilote, volumen total de hormig«n 0,062 m¦/m_, acero UNE-EN 10080 B 500 S, con una cuantØa total de 1 kg/m_, y malla electrosoldada ME 15x30 Ï 6-6 B 500 T 6x2,20 UNE-EN 10080.
NOTA: VALORAMOS PA POR FALTA DE DOCUMENTACIÓN. UNA VEZ SE REVISA PLANO DE DETALLE PASAREMOS VALORACION DEFINITIVA.</t>
  </si>
  <si>
    <t>Uds.</t>
  </si>
  <si>
    <t>Largo</t>
  </si>
  <si>
    <t>Ancho</t>
  </si>
  <si>
    <t>Alto</t>
  </si>
  <si>
    <t>Parcial</t>
  </si>
  <si>
    <t>Subtotal</t>
  </si>
  <si>
    <t>HUECO ESCALERAS</t>
  </si>
  <si>
    <t>020267</t>
  </si>
  <si>
    <t>Partida</t>
  </si>
  <si>
    <t>kg</t>
  </si>
  <si>
    <t>Acero perfiles laminados en caliente en vigas de uni«n soldada</t>
  </si>
  <si>
    <t>NOTA: VALORAMOS PA POR FALTA DE DOCUMENTACIÓN. UNA VEZ SE REVISA PLANO DE DETALLE PASAREMOS VALORACION DEFINITIVA.</t>
  </si>
  <si>
    <t>Uds.</t>
  </si>
  <si>
    <t>Largo</t>
  </si>
  <si>
    <t>Ancho</t>
  </si>
  <si>
    <t>Alto</t>
  </si>
  <si>
    <t>Parcial</t>
  </si>
  <si>
    <t>Subtotal</t>
  </si>
  <si>
    <t>NOTA: PREVISIËN A ESPERAS DE ESTUDIO ESTRUCTURAL</t>
  </si>
  <si>
    <t>0</t>
  </si>
  <si>
    <t>HEB300</t>
  </si>
  <si>
    <t>IPE180</t>
  </si>
  <si>
    <t>HEB300</t>
  </si>
  <si>
    <t>HUECHOS ESCALERAS</t>
  </si>
  <si>
    <t>0</t>
  </si>
  <si>
    <t>SG02</t>
  </si>
  <si>
    <t>SG03</t>
  </si>
  <si>
    <t>Capítulo</t>
  </si>
  <si>
    <t>Alba±ileria</t>
  </si>
  <si>
    <t>C03.1</t>
  </si>
  <si>
    <t>Capítulo</t>
  </si>
  <si>
    <t>Fßbrica de ladrillo</t>
  </si>
  <si>
    <t>03101</t>
  </si>
  <si>
    <t>Partida</t>
  </si>
  <si>
    <t>m_</t>
  </si>
  <si>
    <t>Cerramiento e: 11.5 cm ladrillo hueco para revestir i/dint</t>
  </si>
  <si>
    <t>Cerramiento de ladrillo hueco doble de 11,5 cm de espesor de fßbrica,para revestir, 24x11,5x7 cm, recibida con mortero de cemento confeccionado en obra, con 250 kg/m¦ de cemento, color gris, dosificaci«n 1:6, suministrado en sacos; revestimiento de los frentes de forjado con piezas cerßmicas, colocadas con mortero de alta adherencia, formaci«n de dinteles mediante vigueta prefabricada, revestida con piezas cerßmicas, colocadas con mortero de alta adherencia. Se medirß la superficie realmente ejecutada seg·n especificaciones de Proyecto, sin duplicar esquinas ni encuentros, incluyendo el revestimiento de los frentes de forjado.</t>
  </si>
  <si>
    <t>Uds.</t>
  </si>
  <si>
    <t>Largo</t>
  </si>
  <si>
    <t>Ancho</t>
  </si>
  <si>
    <t>Alto</t>
  </si>
  <si>
    <t>Parcial</t>
  </si>
  <si>
    <t>Subtotal</t>
  </si>
  <si>
    <t>CLH</t>
  </si>
  <si>
    <t>0</t>
  </si>
  <si>
    <t>SALIDA EV.1</t>
  </si>
  <si>
    <t>SALIDA EV.2</t>
  </si>
  <si>
    <t>ACCESO</t>
  </si>
  <si>
    <t>FACHADA PRINCIPAL</t>
  </si>
  <si>
    <t>(Ventanas)</t>
  </si>
  <si>
    <t>C03.1</t>
  </si>
  <si>
    <t>C03.2</t>
  </si>
  <si>
    <t>Capítulo</t>
  </si>
  <si>
    <t>Placas de yeso (paredes)</t>
  </si>
  <si>
    <t>0321C6N</t>
  </si>
  <si>
    <t>Partida</t>
  </si>
  <si>
    <t>m_</t>
  </si>
  <si>
    <t>Tabique sencillo (15+70+15)/600 (2N disp C) c/aislamiento</t>
  </si>
  <si>
    <t>Tabique sencillo (15+70+15)/600 (70) LM - (2 placa normal), con placas de yeso laminado, con banda ac·stica para apoyo sobre suelo actual o encofrado perdido y banda ac·stica en uni«n de techo y laterales, formado por una estructura simple, con disposici«n normal "C" de los montantes; aislamiento ac·stico mediante panel semirrØgido de lana mineral, espesor 70 mm, en el alma; 78 mm de espesor total. El precio incluye la resoluci«n de encuentros y puntos singulares y las ayudas de alba±ilerØa para instalaciones.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</si>
  <si>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</si>
  <si>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</si>
  <si>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</si>
  <si>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</si>
  <si>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</si>
  <si>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</si>
  <si>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TB1</t>
  </si>
  <si>
    <t>0</t>
  </si>
  <si>
    <t>OFICINA</t>
  </si>
  <si>
    <t>VENDING</t>
  </si>
  <si>
    <t>(Plano horizontal)</t>
  </si>
  <si>
    <t>ENTRADA</t>
  </si>
  <si>
    <t>0321C6W</t>
  </si>
  <si>
    <t>Partida</t>
  </si>
  <si>
    <t>m_</t>
  </si>
  <si>
    <t>Tabique sencillo (15+70+15)/600 (2W disp C) c/aislamiento</t>
  </si>
  <si>
    <t>Tabique sencillo (15+70+15)/600 (70) LM - (2 hidrofugado), con placas de yeso laminado, con banda ac·stica para apoyo sobre suelo actual o encofrado perdido y banda ac·stica en uni«n de techo y laterales, formado  por una estructura simple, con disposici«n normal "C" de los montantes; aislamiento ac·stico mediante panel semirrØgido de lana mineral, espesor 70 mm, en el alma; 78 mm de espesor total. El precio incluye la resoluci«n de encuentros y puntos singulares y las ayudas de alba±ilerØa para instalaciones.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</si>
  <si>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</si>
  <si>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</si>
  <si>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</si>
  <si>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</si>
  <si>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</si>
  <si>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</si>
  <si>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TB2</t>
  </si>
  <si>
    <t>0</t>
  </si>
  <si>
    <t>VESTUARIO FEM</t>
  </si>
  <si>
    <t>Tabique duchas</t>
  </si>
  <si>
    <t>VESTUARIOMASC</t>
  </si>
  <si>
    <t>Tabique duchas</t>
  </si>
  <si>
    <t>LIMPIEZA</t>
  </si>
  <si>
    <t>ADAPTADOS</t>
  </si>
  <si>
    <t>0324O66W</t>
  </si>
  <si>
    <t>Partida</t>
  </si>
  <si>
    <t>m_</t>
  </si>
  <si>
    <t>Trasdosado directo placa yeso 15 (1W)</t>
  </si>
  <si>
    <t>Trasdosado directo, realizado con placa de yeso laminado hidrofugado, de 15mm de espesor, recibida directamente sobre el paramento vertical con pasta de agarre. El precio incluye la resoluci«n de encuentros y puntos singulare, pasta de agarre, cinta para el tratameinto de juntas y las ayudas de alba±ilerØa para instalaciones.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</si>
  <si>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</si>
  <si>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</si>
  <si>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</si>
  <si>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</si>
  <si>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</si>
  <si>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</si>
  <si>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TD2</t>
  </si>
  <si>
    <t>0</t>
  </si>
  <si>
    <t>VESTUARIOS</t>
  </si>
  <si>
    <t>(Pilares)</t>
  </si>
  <si>
    <t>LIMPIEZA</t>
  </si>
  <si>
    <t>I_A.PAN</t>
  </si>
  <si>
    <t>Partida</t>
  </si>
  <si>
    <t>m_</t>
  </si>
  <si>
    <t>Placa aquapanel</t>
  </si>
  <si>
    <t>Panel aquapanel de 60 cm en zonas h·medas.</t>
  </si>
  <si>
    <t>Uds.</t>
  </si>
  <si>
    <t>Largo</t>
  </si>
  <si>
    <t>Ancho</t>
  </si>
  <si>
    <t>Alto</t>
  </si>
  <si>
    <t>Parcial</t>
  </si>
  <si>
    <t>Subtotal</t>
  </si>
  <si>
    <t>DUCHAS</t>
  </si>
  <si>
    <t>DUCHAS ASEO ADAPTADO</t>
  </si>
  <si>
    <t>03298B</t>
  </si>
  <si>
    <t>Partida</t>
  </si>
  <si>
    <t>m_</t>
  </si>
  <si>
    <t>Trasdosado autoportante placa yeso 70+4x15 (4 FOC) EI120</t>
  </si>
  <si>
    <t>Trasdosado autoportante, realizado con cuatro placas de yeso laminado -  15 FOC, formado por una estructura simple, con disposici«n normal "C" de los montantes; 130 mm de espesor total; separaci«n entre maestras 600 mm,   con amortiguador EP.400 de AMC mecanocaucho en para apoyo lateral y banda ac·stica para apoyo sobre suelo actual o encofrado perdido, techo y lateral. La placa tendrß 1cm de holgura en todo su perØmetro (techos, suelos y laterales). Aislamiento tÚrmico de lana de roca de 7cm.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</si>
  <si>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</si>
  <si>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</si>
  <si>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</si>
  <si>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</si>
  <si>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</si>
  <si>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</si>
  <si>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ARMARIO (Oficina)</t>
  </si>
  <si>
    <t>PREVISIËN SALA PCI</t>
  </si>
  <si>
    <t>(Pilar)</t>
  </si>
  <si>
    <t>032012C4F</t>
  </si>
  <si>
    <t>Partida</t>
  </si>
  <si>
    <t>m_</t>
  </si>
  <si>
    <t>Tabique m·ltiple (2x15+70+2x15)/600 (4 FOC disp C) c/aisl EI120</t>
  </si>
  <si>
    <t>Tabique autoportante 15+15+70+15+15 formado por una estructura de perfiles de chapa de acero galvanizado de 70 mm de ancho a base de montantes (elementos verticales),  con banda ac·stica para apoyo sobre suelo actual o encofrado perdido y banda ac·stica en uni«n de techo y laterales, separados 600 mm entre ellos y canales (elementos horizontales) a cada lado de la cual se atornilla doble placa de yeso laminado contra incendios de 15 mm de espesor tipo FOC (UNE 102.023) dando un ancho total del tabique terminado de 130 mm. Para estabilidad al fuego EI-120, con relleno de capa de material aislante de lana de roca de 5 cm de espesor y 70 kg/m2 de densidad, incluso certificado de resistencia al fuego.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</si>
  <si>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</si>
  <si>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</si>
  <si>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</si>
  <si>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</si>
  <si>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</si>
  <si>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</si>
  <si>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SALA PCI</t>
  </si>
  <si>
    <t>ARMARIO</t>
  </si>
  <si>
    <t>03259C6W</t>
  </si>
  <si>
    <t>Partida</t>
  </si>
  <si>
    <t>m_</t>
  </si>
  <si>
    <t>Trasdosado autoportante placa yeso 15 (1W disp C) c/maestras</t>
  </si>
  <si>
    <t>Trasdosado autoportante, realizado con placa de yeso laminado -  15 hidr«fuga, formado por una estructura simple, con disposici«n normal "C" de los montantes; 85 mm de espesor total; separaci«n entre maestras 600 mm,  con amortiguador EP.400 de AMC mecanocaucho en para apoyo lateral y banda ac·stica para apoyo sobre suelo actual o encofrado perdido, techo y lateral. La placa tendrß 1cm de holgura en todo su perØmetro (techos, suelos y laterales). El precio incluye la resoluci«n de encuentros y puntos singulares y las ayudas de alba±ilerØa para instalaciones, pero no incluye el aislamiento a colocar entre las placas y el paramento.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</si>
  <si>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</si>
  <si>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</si>
  <si>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</si>
  <si>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</si>
  <si>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</si>
  <si>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</si>
  <si>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TD6</t>
  </si>
  <si>
    <t>0</t>
  </si>
  <si>
    <t>VESTUARIOS</t>
  </si>
  <si>
    <t>CAJONES PILARES</t>
  </si>
  <si>
    <t>0</t>
  </si>
  <si>
    <t>C03.2</t>
  </si>
  <si>
    <t>C03.3</t>
  </si>
  <si>
    <t>Capítulo</t>
  </si>
  <si>
    <t>Techos</t>
  </si>
  <si>
    <t>033015H</t>
  </si>
  <si>
    <t>Partida</t>
  </si>
  <si>
    <t>m_</t>
  </si>
  <si>
    <t>Falso techo continuo de placas de yeso laminado W</t>
  </si>
  <si>
    <t>Falso techo continuo de placas de yeso laminado (PYL) formado una placa de yeso laminado hidr«fugo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mØnimo Nivel Q2, listo para imprimar, revestir, pintar o decorar; i/p.p. de tratamiento de juntas, anclajes, suspensiones, cuelgues, tornillerØa, juntas de estanqueidad y medios auxiliares. Materiales con marcado CE y DdP (Declaraci«n de prestaciones) seg·n Reglamento (UE) 305/2011.</t>
  </si>
  <si>
    <t>Uds.</t>
  </si>
  <si>
    <t>Largo</t>
  </si>
  <si>
    <t>Ancho</t>
  </si>
  <si>
    <t>Alto</t>
  </si>
  <si>
    <t>Parcial</t>
  </si>
  <si>
    <t>Subtotal</t>
  </si>
  <si>
    <t>ACCESOS/ SALIDA EVACUACIËN</t>
  </si>
  <si>
    <t>0334415F</t>
  </si>
  <si>
    <t>Partida</t>
  </si>
  <si>
    <t>m_</t>
  </si>
  <si>
    <t>Falso techo continuo de placas de yeso laminado EI120</t>
  </si>
  <si>
    <t>Falso techo continuo de placas de yeso laminado (PYL) con resistencia al fuego EI-120, formado por 4 placas de yeso laminado resitentes al fuego y altas temperaturas (Tipo F seg·n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mØnimo Nivel Q2, listo para imprimar, revestir, pintar o decorar; i/p.p. de tratamiento de juntas, anclajes, suspensiones, cuelgues, tornillerØa, juntas de estanqueidad y medios auxiliares. Conforme a normativa ATEDY. Materiales con marcado CE y DdP (Declaraci«n de prestaciones) seg·n Reglamento (UE) 305/2011. IncluØdo certificado de resistencia al fuego.</t>
  </si>
  <si>
    <t>Uds.</t>
  </si>
  <si>
    <t>Largo</t>
  </si>
  <si>
    <t>Ancho</t>
  </si>
  <si>
    <t>Alto</t>
  </si>
  <si>
    <t>Parcial</t>
  </si>
  <si>
    <t>Subtotal</t>
  </si>
  <si>
    <t>PREVISIËN</t>
  </si>
  <si>
    <t>0</t>
  </si>
  <si>
    <t>SALA PCI</t>
  </si>
  <si>
    <t>C03.3</t>
  </si>
  <si>
    <t>C03.4</t>
  </si>
  <si>
    <t>Capítulo</t>
  </si>
  <si>
    <t>Otros</t>
  </si>
  <si>
    <t>003.4.1</t>
  </si>
  <si>
    <t>Partida</t>
  </si>
  <si>
    <t>m_</t>
  </si>
  <si>
    <t>Formacion de rampas con pte 10 %</t>
  </si>
  <si>
    <t>Formacion de rampas con pte 10 %</t>
  </si>
  <si>
    <t>Uds.</t>
  </si>
  <si>
    <t>Largo</t>
  </si>
  <si>
    <t>Ancho</t>
  </si>
  <si>
    <t>Alto</t>
  </si>
  <si>
    <t>Parcial</t>
  </si>
  <si>
    <t>Subtotal</t>
  </si>
  <si>
    <t>RAMPAS</t>
  </si>
  <si>
    <t>0</t>
  </si>
  <si>
    <t>003.4.2</t>
  </si>
  <si>
    <t>Partida</t>
  </si>
  <si>
    <t>m_</t>
  </si>
  <si>
    <t>Formacion de rampas con pte 4 %</t>
  </si>
  <si>
    <t>Formacion de rampas con pte 4 %</t>
  </si>
  <si>
    <t>Uds.</t>
  </si>
  <si>
    <t>Largo</t>
  </si>
  <si>
    <t>Ancho</t>
  </si>
  <si>
    <t>Alto</t>
  </si>
  <si>
    <t>Parcial</t>
  </si>
  <si>
    <t>Subtotal</t>
  </si>
  <si>
    <t>RAMPAS</t>
  </si>
  <si>
    <t>03433A</t>
  </si>
  <si>
    <t>Partida</t>
  </si>
  <si>
    <t>m</t>
  </si>
  <si>
    <t>Formaci«n de canaleta en suelo</t>
  </si>
  <si>
    <t>Formaci«n de canaleta en suelo ac·stico para inclusi«n de instalaciones de mßquinas de cardio, tornos, quioscos o similar, incluso acabado superior con chapa plegada de aluminio lacado "5 palillos" de 3 mm de espesor con rigidizadores para pisadas, cortes para salida de conexiones a cada mßquina, peque±o material y ayudas necesarias. Medida la longitud ejecutada.</t>
  </si>
  <si>
    <t>Uds.</t>
  </si>
  <si>
    <t>Largo</t>
  </si>
  <si>
    <t>Ancho</t>
  </si>
  <si>
    <t>Alto</t>
  </si>
  <si>
    <t>Parcial</t>
  </si>
  <si>
    <t>Subtotal</t>
  </si>
  <si>
    <t>CARDIO</t>
  </si>
  <si>
    <t>CROSS</t>
  </si>
  <si>
    <t>034331</t>
  </si>
  <si>
    <t>Partida</t>
  </si>
  <si>
    <t>m</t>
  </si>
  <si>
    <t>Formaci«n de canaleta en duchas</t>
  </si>
  <si>
    <t>Formaci«n de canaleta empotrada en duchas, incluso apertura de hueco con una holgura de 5 cm por todas sus caras para permitir extracci«n de rejilla superior de acabado, peque±o material y ayudas necesarias. Medida la longitud ejecutada.</t>
  </si>
  <si>
    <t>Uds.</t>
  </si>
  <si>
    <t>Largo</t>
  </si>
  <si>
    <t>Ancho</t>
  </si>
  <si>
    <t>Alto</t>
  </si>
  <si>
    <t>Parcial</t>
  </si>
  <si>
    <t>Subtotal</t>
  </si>
  <si>
    <t>CANAELTA DUCHAS</t>
  </si>
  <si>
    <t>06003C</t>
  </si>
  <si>
    <t>Partida</t>
  </si>
  <si>
    <t>m_</t>
  </si>
  <si>
    <t>Formaci«n pte. e impermeabilzaci«n doble lßmina de bet·n</t>
  </si>
  <si>
    <t>Impermeabilizaci«n de zonas h·medas, realizada con doble lßmina de bet·n modificado con elast«mero SBS, LBM(SBS)-40-FP, con armadura de fieltro de poliÚster no tejido de 160 g/m_, de superficie no protegida, adherida con emulsi«n asfßltica ani«nica con cargas tipo EB a un soporte de mortero de cemento CEM II/B-P 32,5 N tipo M-5, confeccionado en obra con 250 kg/m¦ de cemento y una proporci«n en volumen 1/6, con espesor medio de 4 cm y pendiente deL 2% al 5%, acabado fratasado, y protegida con capa separadora. El precio incluye el mortero de formaci«n de prendiente. No incluye el pavimento. Se medirß, en proyecci«n horizontal, la superficie realmente ejecutada seg·n especificaciones de Proyecto, desde las caras interiores de los antepechos o petos perimetrales que la limitan, incluso p.p. de remates perimetrales. Se incluye prueba de estanqueidad de 24 h.</t>
  </si>
  <si>
    <t>Uds.</t>
  </si>
  <si>
    <t>Largo</t>
  </si>
  <si>
    <t>Ancho</t>
  </si>
  <si>
    <t>Alto</t>
  </si>
  <si>
    <t>Parcial</t>
  </si>
  <si>
    <t>Subtotal</t>
  </si>
  <si>
    <t>ZONAS H+MEDAS</t>
  </si>
  <si>
    <t>0</t>
  </si>
  <si>
    <t>ACS</t>
  </si>
  <si>
    <t>PCI</t>
  </si>
  <si>
    <t>DUCHAS</t>
  </si>
  <si>
    <t>DUCHAS ASEO ADAPTADO</t>
  </si>
  <si>
    <t>RO0007A</t>
  </si>
  <si>
    <t>Partida</t>
  </si>
  <si>
    <t>m</t>
  </si>
  <si>
    <t>Apertura de zanja para colector enterrado A=30cm P=40cm</t>
  </si>
  <si>
    <t>Apertura de zanja de 30cm de ancho y una media de 40cm de profundidad mediante m.manuales para colector enterrado, incluida el posterior relleno de la misma y compactaci«n de tierra. Medida la longitud realmente ejecutada.</t>
  </si>
  <si>
    <t>Uds.</t>
  </si>
  <si>
    <t>Largo</t>
  </si>
  <si>
    <t>Ancho</t>
  </si>
  <si>
    <t>Alto</t>
  </si>
  <si>
    <t>Parcial</t>
  </si>
  <si>
    <t>Subtotal</t>
  </si>
  <si>
    <t>ZANJA</t>
  </si>
  <si>
    <t>0</t>
  </si>
  <si>
    <t>SALA PCI</t>
  </si>
  <si>
    <t>SALA ACS</t>
  </si>
  <si>
    <t>0007</t>
  </si>
  <si>
    <t>Partida</t>
  </si>
  <si>
    <t>u</t>
  </si>
  <si>
    <t>Ayudas de alba±ilerØa para colocaci«n de pantallas TV</t>
  </si>
  <si>
    <t>Ayudas de alba±ilerØa para colcoaci«n de pantallas TV</t>
  </si>
  <si>
    <t>Uds.</t>
  </si>
  <si>
    <t>Largo</t>
  </si>
  <si>
    <t>Ancho</t>
  </si>
  <si>
    <t>Alto</t>
  </si>
  <si>
    <t>Parcial</t>
  </si>
  <si>
    <t>Subtotal</t>
  </si>
  <si>
    <t>0008</t>
  </si>
  <si>
    <t>Partida</t>
  </si>
  <si>
    <t>u</t>
  </si>
  <si>
    <t>Ayudas de alba±ilerØa para colocaci«n de peque±o material de SG</t>
  </si>
  <si>
    <t>Ayudas de alba±ilerØa para colocaci«n de accesorios en ba±os (portarollos, jaboneras, dispensador de papel), botiquØn, colgadores, ambientador, fijaci«n de cableado y elementos auxiliares de estos aparatos, asØ como peque±os elementos de cartelerØa corporativa</t>
  </si>
  <si>
    <t>Uds.</t>
  </si>
  <si>
    <t>Largo</t>
  </si>
  <si>
    <t>Ancho</t>
  </si>
  <si>
    <t>Alto</t>
  </si>
  <si>
    <t>Parcial</t>
  </si>
  <si>
    <t>Subtotal</t>
  </si>
  <si>
    <t>0078N</t>
  </si>
  <si>
    <t>Partida</t>
  </si>
  <si>
    <t>u</t>
  </si>
  <si>
    <t>Ayudas de alba±ilerØa para colocaci«n de tornos y portillo</t>
  </si>
  <si>
    <t>Ayudas de alba±ilerØa para colocaci«n de tornos y portillos suministrados por SG.</t>
  </si>
  <si>
    <t>Uds.</t>
  </si>
  <si>
    <t>Largo</t>
  </si>
  <si>
    <t>Ancho</t>
  </si>
  <si>
    <t>Alto</t>
  </si>
  <si>
    <t>Parcial</t>
  </si>
  <si>
    <t>Subtotal</t>
  </si>
  <si>
    <t>00081A</t>
  </si>
  <si>
    <t>Partida</t>
  </si>
  <si>
    <t>pa</t>
  </si>
  <si>
    <t>Ayudas de alba±ilerØa para instalaciones</t>
  </si>
  <si>
    <t>Ayudas de alba±ilerØa para instalaciones, incluso mano de obra, elementos auxiliares, peque±o material, apertura y tapado de huecos y regolas para la correcta ejecuci«n de las instalaciones de fontanerØa, saneamiento, pci, electricidad, ventilaci«n y climatizaci«n, incluso p/p de material auxiliar, maquinaria y elementos de protecci«n.</t>
  </si>
  <si>
    <t>Uds.</t>
  </si>
  <si>
    <t>Largo</t>
  </si>
  <si>
    <t>Ancho</t>
  </si>
  <si>
    <t>Alto</t>
  </si>
  <si>
    <t>Parcial</t>
  </si>
  <si>
    <t>Subtotal</t>
  </si>
  <si>
    <t>0078N43</t>
  </si>
  <si>
    <t>Partida</t>
  </si>
  <si>
    <t>u</t>
  </si>
  <si>
    <t>Ayudas de alba±ilerØa para colocaci«n y cableado de mesa</t>
  </si>
  <si>
    <t>Ayudas de alba±ilerØa para colocaci«n cableado de mesa suministrada por SG.</t>
  </si>
  <si>
    <t>Uds.</t>
  </si>
  <si>
    <t>Largo</t>
  </si>
  <si>
    <t>Ancho</t>
  </si>
  <si>
    <t>Alto</t>
  </si>
  <si>
    <t>Parcial</t>
  </si>
  <si>
    <t>Subtotal</t>
  </si>
  <si>
    <t>0186243</t>
  </si>
  <si>
    <t>Partida</t>
  </si>
  <si>
    <t>u</t>
  </si>
  <si>
    <t>Caja de metacrilato con llave para termostato</t>
  </si>
  <si>
    <t>Caja de bloqueo universal para termostato con llaves, dispositivo de protecci«n para termostato de pared, de metacrilato transparente. Incluso colocaci«n, piezas especialas, llave y mano de obra. Medida la unidad completamente ejecutada.</t>
  </si>
  <si>
    <t>Uds.</t>
  </si>
  <si>
    <t>Largo</t>
  </si>
  <si>
    <t>Ancho</t>
  </si>
  <si>
    <t>Alto</t>
  </si>
  <si>
    <t>Parcial</t>
  </si>
  <si>
    <t>Subtotal</t>
  </si>
  <si>
    <t>PREVISIËN</t>
  </si>
  <si>
    <t>C03.04.08</t>
  </si>
  <si>
    <t>Partida</t>
  </si>
  <si>
    <t>m_</t>
  </si>
  <si>
    <t>Mortero autonivelante de cemento fibrado e: 8 cm con mallazo</t>
  </si>
  <si>
    <t>Base para pavimento interior, de 80 mm de espesor, de mortero autonivelante de cemento, fibrado D-350 F-04 seg·n UNE-EN 13813. Cantidades por m3: 350 kg de cemento II AV-42 SR; 1.620 kg de arena de sØlice 04; 180 l de agua; 1,7 kg de plastificante Basf Polyheed 777 NE; 1,5 kg de s·per fluidificante Glenium Sky 554 y 600 g de fibra de polipropileno Basf Masterfiber 022, con mallazo de reparto de 25.25.5 mm de acero B500, vertido con mezcladora-bombeadora, sobre lßmina de aislamiento para formaci«n de suelo flotante; y posterior aplicaci«n de lØquido de curado incoloro, (0,15 l/m_). Incluso encofrado y banda de panel rØgido de poliestireno expandido de 10 mm de espesor para la preparaci«n de las juntas perimetrales de dilataci«n. Se medirß la superficie realmente ejecutada seg·n especificaciones de Proyecto, sin deducir la superficie ocupada por los pilares situados dentro de su perØmetro.</t>
  </si>
  <si>
    <t>Uds.</t>
  </si>
  <si>
    <t>Largo</t>
  </si>
  <si>
    <t>Ancho</t>
  </si>
  <si>
    <t>Alto</t>
  </si>
  <si>
    <t>Parcial</t>
  </si>
  <si>
    <t>Subtotal</t>
  </si>
  <si>
    <t>SUELOS AC+STICOS</t>
  </si>
  <si>
    <t>15.01</t>
  </si>
  <si>
    <t>Partida</t>
  </si>
  <si>
    <t>ud</t>
  </si>
  <si>
    <t>Se±alizaci«n elementos accesibles</t>
  </si>
  <si>
    <t>Se±alizaci«n en cabinas adaptadas. (Se puede observar en el plano I13. accesibilidad.)</t>
  </si>
  <si>
    <t>Uds.</t>
  </si>
  <si>
    <t>Largo</t>
  </si>
  <si>
    <t>Ancho</t>
  </si>
  <si>
    <t>Alto</t>
  </si>
  <si>
    <t>Parcial</t>
  </si>
  <si>
    <t>Subtotal</t>
  </si>
  <si>
    <t>Se±alizaci«n cabinas adaptadas</t>
  </si>
  <si>
    <t>I_REC_XPS</t>
  </si>
  <si>
    <t>Partida</t>
  </si>
  <si>
    <t>m2</t>
  </si>
  <si>
    <t>Recrecido XPS 10cm</t>
  </si>
  <si>
    <t>Recrecido con XPS incluyendo trabajos de ejecuci«n.
Suministro y colocaci«n de recrecido DE 10cm para regularizaci«n de superficies horizontales realizado mediante paneles de poliestireno extruido XPS de alta densidad con resistencia a la compresi«n.
El recrecido se ejecuta sobre soporte limpio seco y nivelado con la colocaci«n ordenada de los paneles XPS respetando juntas de dilataci«n cuando sea necesario.
La unidad incluye el replanteo y limpieza de la superficie de apoyo el suministro y colocaci«n de los paneles XPS la ejecuci«n de juntas perimetrales asØ como todos los medios auxiliares mano de obra y protecci«n del trabajo ejecutado</t>
  </si>
  <si>
    <t>Uds.</t>
  </si>
  <si>
    <t>Largo</t>
  </si>
  <si>
    <t>Ancho</t>
  </si>
  <si>
    <t>Alto</t>
  </si>
  <si>
    <t>Parcial</t>
  </si>
  <si>
    <t>Subtotal</t>
  </si>
  <si>
    <t>DUCHAS</t>
  </si>
  <si>
    <t>I_FOR.PEN</t>
  </si>
  <si>
    <t>Partida</t>
  </si>
  <si>
    <t>m2</t>
  </si>
  <si>
    <t>Formaci«n de pendientes</t>
  </si>
  <si>
    <t>Formaci«n de pendientes en duchas</t>
  </si>
  <si>
    <t>Uds.</t>
  </si>
  <si>
    <t>Largo</t>
  </si>
  <si>
    <t>Ancho</t>
  </si>
  <si>
    <t>Alto</t>
  </si>
  <si>
    <t>Parcial</t>
  </si>
  <si>
    <t>Subtotal</t>
  </si>
  <si>
    <t>DUCHAS</t>
  </si>
  <si>
    <t>06PE02</t>
  </si>
  <si>
    <t>Partida</t>
  </si>
  <si>
    <t>m</t>
  </si>
  <si>
    <t>Banda de poliestireno expandido de 20 mm</t>
  </si>
  <si>
    <t>Banda de panel rØgido de poliestireno expandido de 20 mm de espesor. Incluso colocaci«n evitando contacto de mortero autonivelante y trasdosado ac·stico. Se medirß la longitud realmente ejecutada seg·n especificaciones de Proyecto.</t>
  </si>
  <si>
    <t>Uds.</t>
  </si>
  <si>
    <t>Largo</t>
  </si>
  <si>
    <t>Ancho</t>
  </si>
  <si>
    <t>Alto</t>
  </si>
  <si>
    <t>Parcial</t>
  </si>
  <si>
    <t>Subtotal</t>
  </si>
  <si>
    <t>(EPS)</t>
  </si>
  <si>
    <t>0</t>
  </si>
  <si>
    <t>CARDIO</t>
  </si>
  <si>
    <t>STRENGTH</t>
  </si>
  <si>
    <t>PESO LIBRE</t>
  </si>
  <si>
    <t>PESO LIBRE/ ZONA BOOTY</t>
  </si>
  <si>
    <t>CROSS</t>
  </si>
  <si>
    <t>I_PAN.SAN</t>
  </si>
  <si>
    <t>Partida</t>
  </si>
  <si>
    <t>m2</t>
  </si>
  <si>
    <t>Panel sandwich</t>
  </si>
  <si>
    <t>Panel sßndwich compuesto por dos caras exteriores rØgidas y un n·cleo aislante, utilizado como elemento constructivo en aplicaciones de cerramiento. Se medirß la superficie realmente ejecutada seg·n especificaciones de Proyecto.</t>
  </si>
  <si>
    <t>Uds.</t>
  </si>
  <si>
    <t>Largo</t>
  </si>
  <si>
    <t>Ancho</t>
  </si>
  <si>
    <t>Alto</t>
  </si>
  <si>
    <t>Parcial</t>
  </si>
  <si>
    <t>Subtotal</t>
  </si>
  <si>
    <t>VENTANAS CIRCULARES FACHADA</t>
  </si>
  <si>
    <t>I_IM.TELA</t>
  </si>
  <si>
    <t>Partida</t>
  </si>
  <si>
    <t>m2</t>
  </si>
  <si>
    <t>Doble Impermeabilizaci«n con tela asfßltica</t>
  </si>
  <si>
    <t>Segunda impermeabilizaci«n mediante pintura o una tela, sobre el morterio ya ejecutado.
Se medirß, en proyecci«n horizontal, la superficie realmente ejecutada seg·n especificaciones de Proyecto, desde las caras interiores de los antepechos o petos perimetrales que la limitan, incluso p.p. de remates perimetrales. Se incluye prueba de estanqueidad de 24 h.</t>
  </si>
  <si>
    <t>Uds.</t>
  </si>
  <si>
    <t>Largo</t>
  </si>
  <si>
    <t>Ancho</t>
  </si>
  <si>
    <t>Alto</t>
  </si>
  <si>
    <t>Parcial</t>
  </si>
  <si>
    <t>Subtotal</t>
  </si>
  <si>
    <t>ZONAS H+MEDAS</t>
  </si>
  <si>
    <t>0</t>
  </si>
  <si>
    <t>ACS</t>
  </si>
  <si>
    <t>PCI</t>
  </si>
  <si>
    <t>DUCHAS</t>
  </si>
  <si>
    <t>DUCHAS ASEO ADAPTADO</t>
  </si>
  <si>
    <t>I_CAVITY</t>
  </si>
  <si>
    <t>Partida</t>
  </si>
  <si>
    <t>m_</t>
  </si>
  <si>
    <t>Recrecido cavity 25+8</t>
  </si>
  <si>
    <t>RECRECIDO ALIGERADO CON ENCOFRADO NO RECUPERABLE, SISTEMA CAVITY
Recrecido aligerado de hormig«n armado de 25+8 cm de espesor (vertido del hormig«n de la losa flotante), sobre encofrado perdido de piezas de polipropileno reciclado, C-25 CAVITI", de 750x500x250 mm, color negro, realizado con hormig?n HA-30/B/12/XC1+XF1+XA1+XM2 fabricado en central, con cemento SR, y malla electrosoldada ME 10x10 ? 5-5 B 500 T 6x2,20 UNE-EN 10080 como armadura de reparto, colocada sobre separadores homologados. Medida la superficie ejecutada.</t>
  </si>
  <si>
    <t>Uds.</t>
  </si>
  <si>
    <t>Largo</t>
  </si>
  <si>
    <t>Ancho</t>
  </si>
  <si>
    <t>Alto</t>
  </si>
  <si>
    <t>Parcial</t>
  </si>
  <si>
    <t>Subtotal</t>
  </si>
  <si>
    <t>VESTUARIO FEM/ MASC</t>
  </si>
  <si>
    <t>ASEOS FEM/ MASC</t>
  </si>
  <si>
    <t>DUCHAS FEM/ MASC</t>
  </si>
  <si>
    <t>ADAPTADAO FEM/ MASC</t>
  </si>
  <si>
    <t>C03.4</t>
  </si>
  <si>
    <t>SG03</t>
  </si>
  <si>
    <t>SG04</t>
  </si>
  <si>
    <t>Capítulo</t>
  </si>
  <si>
    <t>Actuaciones Ac·sticas</t>
  </si>
  <si>
    <t>4SA8I</t>
  </si>
  <si>
    <t>Partida</t>
  </si>
  <si>
    <t>m_</t>
  </si>
  <si>
    <t>Suelo ac·stico. H8+I</t>
  </si>
  <si>
    <t>Espesor total = 11 cm
Losa flotante de hormigon armado de 8cm de espesor (no incluida en esta paratida) sobre una lßmina anti-impacto de polietileno reticulado de celda cerrada tipo IMPACTODAN 10 (1cm de espesor) o equivalente.
Todo el sistema se realizara aplicando buenas practicas constructivas y evitando la generacion de puentes ac·sticos.
El consumo de espacio de esta soluci«n es de 11 cm mßs suelo de terminaci«n.
Las zonas donde se prevea recibir impactos se cubrirßn con soluciones especificas que incrementen el aislamiento practico a dichos impactos, segun uso, hasta alcanzar los requisitos establecidos.
Detalle seg·n estudio ac·stico. Medida la superficie realmente ejecutada, medida en superficie horizontal.</t>
  </si>
  <si>
    <t>Uds.</t>
  </si>
  <si>
    <t>Largo</t>
  </si>
  <si>
    <t>Ancho</t>
  </si>
  <si>
    <t>Alto</t>
  </si>
  <si>
    <t>Parcial</t>
  </si>
  <si>
    <t>Subtotal</t>
  </si>
  <si>
    <t>VESTARIOS</t>
  </si>
  <si>
    <t>4SA086</t>
  </si>
  <si>
    <t>Partida</t>
  </si>
  <si>
    <t>m_</t>
  </si>
  <si>
    <t>Suelo ac·stico. H8+C6</t>
  </si>
  <si>
    <t>Espesor total = 16 cm
Losa flotante de hormigon armado de 8cm de espesor (no incluida en esta paratida) sobre 6 cm de COPOPREN, de 80 Kg/m3 de densidad (2 capas contrapeadas), cubierta con un plastico hidrofugo. 
Las planchas de copoprÚn irßn contrapeadas, evitando huecos entre planchas. Incluso banda perimetral de copoprÚn en el perØmetro de la losa, evitando contacto de mortero autonivelante y trasdosado ac·stico. El plßstico no podrß tener perforaciones, incluso juntas, juntas estructurales y encofrados.
Todo el sistema se realizara aplicando buenas practicas constructivas y evitando la generacion de puentes acusticos.
El consumo de espacio de esta soluci«n es de 16 cm mßs suelo de terminaci«n.
Las zonas donde se prevea recibir impactos se cubriran con soluciones especificas que incrementen el aislamiento practico a dichos impactos, segun uso, hasta alcanzar los requisitos establecidos.
Detalle seg·n estudio ac·stico. Medida la superficie realmente ejecutada, medida en superficie horizontal.
.</t>
  </si>
  <si>
    <t>Uds.</t>
  </si>
  <si>
    <t>Largo</t>
  </si>
  <si>
    <t>Ancho</t>
  </si>
  <si>
    <t>Alto</t>
  </si>
  <si>
    <t>Parcial</t>
  </si>
  <si>
    <t>Subtotal</t>
  </si>
  <si>
    <t>SALA TECNIC</t>
  </si>
  <si>
    <t>4SA109</t>
  </si>
  <si>
    <t>Partida</t>
  </si>
  <si>
    <t>m_</t>
  </si>
  <si>
    <t>Suelo ac·stico. H8+C9</t>
  </si>
  <si>
    <t>Espesor total = 19 cm 
Losa flotante de hormigon armado de 8cm de espesor (no incluida en esta paratida) sobre 9 cm de COPOPREN (3 capas contrapeadas), de 80 Kg/m3 de densidad, cubierta con un plastico hidrofugo.
Las planchas de copoprÚn irßn contrapeadas, evitando huecos entre planchas. Incluso banda perimetral de copoprÚn en el perØmetro de la losa, evitando contacto de mortero autonivelante y trasdosado ac·stico. El plßstico no podrß tener perforaciones, incluso juntas, juntas estructurales y encofrados.
Todo el sistema se realizara aplicando buenas practicas constructivas y evitando la generacion de puentes acusticos. 
El consumo de espacio de esta solucion es de 19 cm mßs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t>
  </si>
  <si>
    <t>Uds.</t>
  </si>
  <si>
    <t>Largo</t>
  </si>
  <si>
    <t>Ancho</t>
  </si>
  <si>
    <t>Alto</t>
  </si>
  <si>
    <t>Parcial</t>
  </si>
  <si>
    <t>Subtotal</t>
  </si>
  <si>
    <t>STRENGTH</t>
  </si>
  <si>
    <t>AGILITY</t>
  </si>
  <si>
    <t>SPEED</t>
  </si>
  <si>
    <t>CARDIO</t>
  </si>
  <si>
    <t>ENTRADA</t>
  </si>
  <si>
    <t>OFICINA</t>
  </si>
  <si>
    <t>I_CP</t>
  </si>
  <si>
    <t>Partida</t>
  </si>
  <si>
    <t>m</t>
  </si>
  <si>
    <t>3cm de CopoprÚn 80Kg/ m3</t>
  </si>
  <si>
    <t>3cm de CopoprÚn 80Kg/ m3</t>
  </si>
  <si>
    <t>Uds.</t>
  </si>
  <si>
    <t>Largo</t>
  </si>
  <si>
    <t>Ancho</t>
  </si>
  <si>
    <t>Alto</t>
  </si>
  <si>
    <t>Parcial</t>
  </si>
  <si>
    <t>Subtotal</t>
  </si>
  <si>
    <t>PCI</t>
  </si>
  <si>
    <t>FW/ CROSS</t>
  </si>
  <si>
    <t>(Pilares)</t>
  </si>
  <si>
    <t>VESTUARIOS</t>
  </si>
  <si>
    <t>STRENGTH/ CARDIO/ ENTRADA</t>
  </si>
  <si>
    <t>(Pilares)</t>
  </si>
  <si>
    <t>OFICINA</t>
  </si>
  <si>
    <t>AGILITY</t>
  </si>
  <si>
    <t>(Pilares)</t>
  </si>
  <si>
    <t>SPEED</t>
  </si>
  <si>
    <t>(Pilares)</t>
  </si>
  <si>
    <t>JUNTA DILATACIËN</t>
  </si>
  <si>
    <t>I_4SA10AB2</t>
  </si>
  <si>
    <t>Partida</t>
  </si>
  <si>
    <t>m_</t>
  </si>
  <si>
    <t>Suelo acustico alto rendimiento</t>
  </si>
  <si>
    <t>Espesor total = 27 cm
Se construirß una losa flotante de hormig«n armado de 8 cm de espesor (no incluida en esta paratida) sobre 9 cm de COPOPR_N (3 capas contrapeadas), de 80 Kg/m3 de densidad cubierto con un plßstico hidr«fugo. El copoprÚn a su vez, estarß colocado sobre 2 tableros de DM de 10 mm contrapeados colocados sobre tacos amarillos de Viscoren (6,25 tacos/m2), formando una cßmara de 4cm que se rellenarß completamente con lana mineral de 50 Kg/m3 de densidad. Para facilitar la instalaci«n de los tacos, se pueden utilizar perfiles TC-60 para encajar las piezas.
Incluso banda perimetral de copoprÚn en el perØmetro de la losa, evitando contacto de mortero autonivelante y trasdosado ac·stico. El plßstico no podrß tener perforaciones, incluso juntas, juntas estructurales y encofrados.
Sobre el hormig«n se instalarß en todas las zonas donde se prevean recibir impactos 2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seg·n estudio ac·stico. Medida la superficie realmente ejecutada, medida en superficie horizontal.</t>
  </si>
  <si>
    <t>Uds.</t>
  </si>
  <si>
    <t>Largo</t>
  </si>
  <si>
    <t>Ancho</t>
  </si>
  <si>
    <t>Alto</t>
  </si>
  <si>
    <t>Parcial</t>
  </si>
  <si>
    <t>Subtotal</t>
  </si>
  <si>
    <t>PESO LIBRE/ CROSS</t>
  </si>
  <si>
    <t>I_P11515</t>
  </si>
  <si>
    <t>Partida</t>
  </si>
  <si>
    <t>m_</t>
  </si>
  <si>
    <t>Trasdosado Ac·stico P1.15.L15 (1x15+15LM)</t>
  </si>
  <si>
    <t>Espesor total = 16.5 cm
Trasdosado consistente en un cerramiento de una placa de yeso laminado de 15 mm; dejando una cßmara de 15 cm que se rellenarß con 15cm de lana mineral de 70 Kg/m3 de densidad.
Todo el sistema se construirß empleando buenas prßcticas en cuanto a evitar puentes ac·sticos, utilizando bandas ac·sticas o lana mineral en los perfiles. Estructura de soporte con amortiguadores tipo ep400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cßmara se puede reducir hasta 6 cm, completamente rellenos de lana mineral.
Detalle seg·n estudio ac·stico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</si>
  <si>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</si>
  <si>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</si>
  <si>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</si>
  <si>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</si>
  <si>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</si>
  <si>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</si>
  <si>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ZONA GIMNASIO</t>
  </si>
  <si>
    <t>(Pilares)</t>
  </si>
  <si>
    <t>(Pilares)</t>
  </si>
  <si>
    <t>0P230L15</t>
  </si>
  <si>
    <t>Partida</t>
  </si>
  <si>
    <t>m_</t>
  </si>
  <si>
    <t>Trasdosado Ac·stico P2.15.L15 (2x15+15LM)</t>
  </si>
  <si>
    <t>Espesor total = 18 cm
Trasdosado consistente en un cerramiento tipo sandwich de doble placa de yeso laminado de 15 mm; dejando una camara de 15 cm que se rellenarß con 15 cm de lana mineral de 70 Kg/m3 de densidad.
Todo el sistema se construirß empleando buenas prßcticas en cuanto a evitar puentes ac·sticos, utilizando bandas ac·sticas o lana mineral en los perfiles. Estructura de soporte con amortiguadores tipo ep500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cßmara se puede reducir hasta 6 cm, completamente rellenos de lana mineral.
Detalle seg·n estudio ac·stico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</si>
  <si>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</si>
  <si>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</si>
  <si>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</si>
  <si>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</si>
  <si>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</si>
  <si>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</si>
  <si>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SALA TECNIC</t>
  </si>
  <si>
    <t>AGILITY</t>
  </si>
  <si>
    <t>(Pilares)</t>
  </si>
  <si>
    <t>SPEED</t>
  </si>
  <si>
    <t>(Pilares)</t>
  </si>
  <si>
    <t>I_T1.10.10</t>
  </si>
  <si>
    <t>Partida</t>
  </si>
  <si>
    <t>m_</t>
  </si>
  <si>
    <t>Tabque ac·stico T1.10.L10 (1x10+10LM)</t>
  </si>
  <si>
    <t>Espesor total = 13 cm
Tabique separador consistente en doble cerramiento de una placa de yeso laminado de 15 mm a cada lado; dejando una cßmara de 10 cm que se rellenarß con 10cm de lana mineral de 70 Kg/m3 de densidad.
El tabique se sujeta al techo ac·stico, interponiendo amortiguadores EP500+SYLOMER.
Los tabiques autoportantes se soportan sobre la losa flotante, mediante amortiguadores EP500+SYLOMER.</t>
  </si>
  <si>
    <t>Uds.</t>
  </si>
  <si>
    <t>Largo</t>
  </si>
  <si>
    <t>Ancho</t>
  </si>
  <si>
    <t>Alto</t>
  </si>
  <si>
    <t>Parcial</t>
  </si>
  <si>
    <t>Subtotal</t>
  </si>
  <si>
    <t>TABIQUE SEPARADOR</t>
  </si>
  <si>
    <t>0</t>
  </si>
  <si>
    <t>AGILITY</t>
  </si>
  <si>
    <t>SPEED</t>
  </si>
  <si>
    <t>SALA TECNIC</t>
  </si>
  <si>
    <t>0T112L12</t>
  </si>
  <si>
    <t>Partida</t>
  </si>
  <si>
    <t>m_</t>
  </si>
  <si>
    <t>Techo ac·stico T1.12.L12 (1x15+12LM)</t>
  </si>
  <si>
    <t>Espesor total = 13cm
El aislamiento del techo consistirß en un cerramiento de una placa de yeso laminado de 15 mm; dejando una cßmara de 12cm que se rellenarß con 12cm lana mineral de 30-50 Kg/m3 de densidad, incluso amortiguadores tipo AKUSTIK SUPER T60 + SYLOMER A45 de AMC mecanocaucho (1,2 ud/m2).
Todo el sistema se construirß empleando buenas prßcticas en cuanto a evitar puentes ac·sticos, utilizando bandas ac·sticas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transmisi«n de ruido entre zonas.
Por debajo del techo ac·stico se puede construir un techo tÚcnico para el paso de instalaciones, preferiblemente con terminaci«n fonoabsorbente.
Detalle seg·n estudio ac·stico.</t>
  </si>
  <si>
    <t>Uds.</t>
  </si>
  <si>
    <t>Largo</t>
  </si>
  <si>
    <t>Ancho</t>
  </si>
  <si>
    <t>Alto</t>
  </si>
  <si>
    <t>Parcial</t>
  </si>
  <si>
    <t>Subtotal</t>
  </si>
  <si>
    <t>GIMNASIO</t>
  </si>
  <si>
    <t>I_T13030</t>
  </si>
  <si>
    <t>Partida</t>
  </si>
  <si>
    <t>m_</t>
  </si>
  <si>
    <t>Techo ac·stico T1.30.L30 (1x15+30LM)</t>
  </si>
  <si>
    <t>Espesor total = 31.5cm
El aislamiento del techo consistirß en un cerramiento de una placa de yeso laminado de 15 mm; dejando una cßmara de 30 cm que se rellenarß con 30 cm lana mineral de 30-50 Kg/m3 de densidad, incluso  amortiguadores tipo AKUSTIK SUPER T60 + SYLOMER A45 de AMC mecanocaucho (1,2 ud/m2).
Todo el sistema se construirß empleando buenas prßcticas en cuanto a evitar puentes ac·sticos, utilizando bandas ac·sticas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transmisi«n de ruido entre zonas.
Por debajo del techo ac·stico se puede construir un techo tÚcnico para el paso de instalaciones, preferiblemente con terminaci«n fonoabsorbente.
Detalle seg·n estudio ac·stico.</t>
  </si>
  <si>
    <t>Uds.</t>
  </si>
  <si>
    <t>Largo</t>
  </si>
  <si>
    <t>Ancho</t>
  </si>
  <si>
    <t>Alto</t>
  </si>
  <si>
    <t>Parcial</t>
  </si>
  <si>
    <t>Subtotal</t>
  </si>
  <si>
    <t>SALA TECNIC</t>
  </si>
  <si>
    <t>I_T2.20.20</t>
  </si>
  <si>
    <t>Partida</t>
  </si>
  <si>
    <t>m_</t>
  </si>
  <si>
    <t>Techo acustico T2.20.L20 (2x20+20LM)</t>
  </si>
  <si>
    <t>Espesor total = 23 cm
El aislamiento del techo consistirß en un cerramiento de dos placas de yeso laminado de 15 mm; dejando una cßmara de 20 cm que se rellenarß con 20 cm lana mineral de 30-50 Kg/m3 de densidad, incluso  amortiguadores tipo amortiguadores ACUSTIK 1 + SYLOMER en cada varilla. + MUELLES.
que descuelga).
Todo el sistema se construirß empleando buenas prßcticas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Este techo baja, sin llegar a tocar directamente los trasdosados (colocando banda acustica, dejando un hilo de luz y no masillando las juntas).
Por debajo del techo acustico se puede construir un techo tecnico para el paso de instalaciones, preferiblemente con terminacion fonoabsorbente.
Todas las bajantes se forrarßn con PKB2, previamente a la instalaci«n del techo ac·stico.
En el paso de vigas la cßmara puede reducirse a 12 cm rellenos completamente con lana mineral de 40-50 Kg/m3 de densidad.</t>
  </si>
  <si>
    <t>Uds.</t>
  </si>
  <si>
    <t>Largo</t>
  </si>
  <si>
    <t>Ancho</t>
  </si>
  <si>
    <t>Alto</t>
  </si>
  <si>
    <t>Parcial</t>
  </si>
  <si>
    <t>Subtotal</t>
  </si>
  <si>
    <t>AGILITY/ SPEED</t>
  </si>
  <si>
    <t>4PKB2BAJACL</t>
  </si>
  <si>
    <t>Partida</t>
  </si>
  <si>
    <t>m_</t>
  </si>
  <si>
    <t>Forrado de conductos con PKB2</t>
  </si>
  <si>
    <t>Forrado de conductos con doble capa de PKB2, incluso elementos auxiliares, mano de obra y peque±o material. Medida la superficie realmente ejecutada (se medirß la doble capa de PKB2).</t>
  </si>
  <si>
    <t>Uds.</t>
  </si>
  <si>
    <t>Largo</t>
  </si>
  <si>
    <t>Ancho</t>
  </si>
  <si>
    <t>Alto</t>
  </si>
  <si>
    <t>Parcial</t>
  </si>
  <si>
    <t>Subtotal</t>
  </si>
  <si>
    <t>PREVISIËN</t>
  </si>
  <si>
    <t>4PKB2BAJA</t>
  </si>
  <si>
    <t>Partida</t>
  </si>
  <si>
    <t>m</t>
  </si>
  <si>
    <t>Forrado de bajantes con PKB2</t>
  </si>
  <si>
    <t>Forrado de bajantes con PKB2 previa a la instalaci«n de techo ac·stico. Medido el metro lineal de bajante hasta un dißmetro de 250mm realmente ejecutado.</t>
  </si>
  <si>
    <t>Uds.</t>
  </si>
  <si>
    <t>Largo</t>
  </si>
  <si>
    <t>Ancho</t>
  </si>
  <si>
    <t>Alto</t>
  </si>
  <si>
    <t>Parcial</t>
  </si>
  <si>
    <t>Subtotal</t>
  </si>
  <si>
    <t>PREVISIËN</t>
  </si>
  <si>
    <t>I_CAJ</t>
  </si>
  <si>
    <t>Partida</t>
  </si>
  <si>
    <t>m2</t>
  </si>
  <si>
    <t>Forrado de bajantes con cajones</t>
  </si>
  <si>
    <t>Forrado de bajantes mediante cajones
Ejecuci«n de forrado de bajantes mediante la construcci«n de cajones con estructura auxiliar de perfiles metßlicos.
Incluye todos los materiales mano de obra medios auxiliares y protecci«n del entorno siendo la unidad de medici«n seg·n el desarrollo real del forrado ejecutado conforme a las dimensiones y recorrido de la bajante</t>
  </si>
  <si>
    <t>Uds.</t>
  </si>
  <si>
    <t>Largo</t>
  </si>
  <si>
    <t>Ancho</t>
  </si>
  <si>
    <t>Alto</t>
  </si>
  <si>
    <t>Parcial</t>
  </si>
  <si>
    <t>Subtotal</t>
  </si>
  <si>
    <t>Previsi« de cajon</t>
  </si>
  <si>
    <t>I_SILENCIOSOS</t>
  </si>
  <si>
    <t>Partida</t>
  </si>
  <si>
    <t>m3</t>
  </si>
  <si>
    <t>Silencioso X x Y x Z mm con refuerzo</t>
  </si>
  <si>
    <t>Suministro y colocaci«n de silenciador ac·stico de celdillas, de caracterØsticas seg·n estudio ac·stico:
Envolvente y anclajes: Chapa galvanizada de 1,2 mm.e. y
marco perimetral realizado con junta ôMETUö.
Celdillas: Chapa galvanizada 0,8 mm e. con acabado plano
en los dos extremos.
Material absorbente: Lana de roca.
Densidad absorbente: 50 Kg/m¦.
Acabado celdillas: Velo negro de protecci«n.
Ancho de celdillas: 150 mm.
Modelo: SNA5, SNA7.5, SNA10 y SNA15.
Ancho canal paso de aire: 50, 75, 100 y 150 mm. seg·n
modelo.
Temperatura mßx. utilizaci«n: 200 _C
Certifi cado ac·stico: APPLUS Expte. n_ 12/4410 - PÚrdida
de inserci«n de silenciadores seg·n UNE-EN ISO 11691:2010
Incluye la parte proporcional de refuerzo para sujeci«n de forjado superior.
NOTA: 
-Los silenciadores de las unidades exteriores de clima no estan definidos .
-Hay 5,6 m3 en la medicion , y son 30 m3 según caracteristicas estudio , caudal de aire , y Velocidad de paso de aire de 6 m/S 
TENER EN CUENTA QUE ESTOS CONCEPTOS NO ESTAN INCLUIDOS. VALORAMOS PRECIO POR HOMOLOGACION DE LAS OFERTAS.</t>
  </si>
  <si>
    <t>Uds.</t>
  </si>
  <si>
    <t>Largo</t>
  </si>
  <si>
    <t>Ancho</t>
  </si>
  <si>
    <t>Alto</t>
  </si>
  <si>
    <t>Parcial</t>
  </si>
  <si>
    <t>Subtotal</t>
  </si>
  <si>
    <t>SILENCIADORES</t>
  </si>
  <si>
    <t>SG04</t>
  </si>
  <si>
    <t>SG05</t>
  </si>
  <si>
    <t>Capítulo</t>
  </si>
  <si>
    <t>Revestimientos</t>
  </si>
  <si>
    <t>05001</t>
  </si>
  <si>
    <t>Partida</t>
  </si>
  <si>
    <t>m_</t>
  </si>
  <si>
    <t>Enfoscado de cemento maestreado y bru±ido en exteriores</t>
  </si>
  <si>
    <t>Enfoscado de cemento, maestreado, aplicado sobre un paramento vertical exterior, acabado superficial bru±ido, con mortero de cemento, tipo GP CSIII W1, previa colocaci«n de malla antißlcalis en cambios de material y en los frentes de forjado. Se medirß la superficie realmente ejecutada seg·n especificaciones de Proyecto, deduciendo, en los huecos de superficie mayor de 4 m_, el exceso sobre 4 m_.</t>
  </si>
  <si>
    <t>Uds.</t>
  </si>
  <si>
    <t>Largo</t>
  </si>
  <si>
    <t>Ancho</t>
  </si>
  <si>
    <t>Alto</t>
  </si>
  <si>
    <t>Parcial</t>
  </si>
  <si>
    <t>Subtotal</t>
  </si>
  <si>
    <t>PREVISIËN</t>
  </si>
  <si>
    <t>0</t>
  </si>
  <si>
    <t>FACHADA PRINCIPAL</t>
  </si>
  <si>
    <t>(Retranqueo acceso)</t>
  </si>
  <si>
    <t>(Retranqueo salida de emergencia)</t>
  </si>
  <si>
    <t>(Plano horizontal acceso)</t>
  </si>
  <si>
    <t>(Plano horizontal salida de emergencia) 1</t>
  </si>
  <si>
    <t>(Plano horizontal salida de emergencia) 2</t>
  </si>
  <si>
    <t>FACHADA TRASERA</t>
  </si>
  <si>
    <t>05003B</t>
  </si>
  <si>
    <t>Partida</t>
  </si>
  <si>
    <t>m_</t>
  </si>
  <si>
    <t>Alicatado gres porcelßnico SALONI Menhir antracita 30x60cm</t>
  </si>
  <si>
    <t>Alicatado con gres porcelßnico Saloni Menhir antracita, piezas de 30x60 cm, capacidad de absorci«n de agua E&lt;0,5%, grupo BIa, resistencia al deslizamiento Rd&gt;45, clase 3, colocado sobre una superficie soporte de mortero de cemento u hormig«n, en paramentos interiores, recibido con adhesivo cementoso mejorado, C2 gris, con doble encolado, junta de separaci«n entre 1,5 y 3 mm y lechada de color negro; incluso piezas de remate y piezas de esquina, en negro, ejecutado seg·n detalle de proyecto. Se medirß la superficie realmente ejecutada seg·n especificaciones de Proyecto, deduciendo los huecos de superficie mayor de 3 m_.</t>
  </si>
  <si>
    <t>Uds.</t>
  </si>
  <si>
    <t>Largo</t>
  </si>
  <si>
    <t>Ancho</t>
  </si>
  <si>
    <t>Alto</t>
  </si>
  <si>
    <t>Parcial</t>
  </si>
  <si>
    <t>Subtotal</t>
  </si>
  <si>
    <t>ASEOS ADAPTADOS</t>
  </si>
  <si>
    <t>DUCHAS MAS/ FEM</t>
  </si>
  <si>
    <t>ASEO</t>
  </si>
  <si>
    <t>LIMPIEZA</t>
  </si>
  <si>
    <t>05004B</t>
  </si>
  <si>
    <t>Partida</t>
  </si>
  <si>
    <t>u</t>
  </si>
  <si>
    <t>Jabonera gres porcelßnico SALONI Menhir antracita</t>
  </si>
  <si>
    <t>Jabonera triangular ejecuada con con gres porcelßnico Saloni Menhir antracita, recibido con adhesivo cementoso mejorado, C2 gris, con doble encolado, sin junta (separaci«n entre 1,5 y 3 mm);. Medida la unidad totalmente ejecutada.</t>
  </si>
  <si>
    <t>Uds.</t>
  </si>
  <si>
    <t>Largo</t>
  </si>
  <si>
    <t>Ancho</t>
  </si>
  <si>
    <t>Alto</t>
  </si>
  <si>
    <t>Parcial</t>
  </si>
  <si>
    <t>Subtotal</t>
  </si>
  <si>
    <t>05020AAA</t>
  </si>
  <si>
    <t>Partida</t>
  </si>
  <si>
    <t>m_</t>
  </si>
  <si>
    <t>Remate decorativo de chapa de aluminio lisa lacado NEGRO</t>
  </si>
  <si>
    <t>Remate decorativo de chapa de aluminio lisa lacado color NEGRO, de 2 mm de espesor, fijada con adhesivo y atornillada, incluso p.p. de piezas especiales para remates en tabicas, perfil L en contacto con el suelo y cantoneras metßlicas de protecci«n en pilares. Se medirß la superficie desarrollada y realmente ejecutada seg·n especificaciones de Proyecto.</t>
  </si>
  <si>
    <t>Uds.</t>
  </si>
  <si>
    <t>Largo</t>
  </si>
  <si>
    <t>Ancho</t>
  </si>
  <si>
    <t>Alto</t>
  </si>
  <si>
    <t>Parcial</t>
  </si>
  <si>
    <t>Subtotal</t>
  </si>
  <si>
    <t>RAMPAS</t>
  </si>
  <si>
    <t>0</t>
  </si>
  <si>
    <t>05020A</t>
  </si>
  <si>
    <t>Partida</t>
  </si>
  <si>
    <t>m_</t>
  </si>
  <si>
    <t>Remate decorativo de chapa de aluminio lacado "5 palillos" 2 mm</t>
  </si>
  <si>
    <t>Remate decorativo de chapa de aluminio lacado color acero inox, modelo "5 palillos", de 2 mm de espesor, fijada con adhesivo y atornillada, incluso p.p. de piezas especiales para remates en tabicas, perfil L en contacto con el suelo y cantoneras metßlicas de protecci«n en pilares. Se medirß la superficie desarrollada y realmente ejecutada seg·n especificaciones de Proyecto.</t>
  </si>
  <si>
    <t>Uds.</t>
  </si>
  <si>
    <t>Largo</t>
  </si>
  <si>
    <t>Ancho</t>
  </si>
  <si>
    <t>Alto</t>
  </si>
  <si>
    <t>Parcial</t>
  </si>
  <si>
    <t>Subtotal</t>
  </si>
  <si>
    <t>CARDIO</t>
  </si>
  <si>
    <t>BASE FUENTE</t>
  </si>
  <si>
    <t>CROSS</t>
  </si>
  <si>
    <t>05022</t>
  </si>
  <si>
    <t>Partida</t>
  </si>
  <si>
    <t>m_</t>
  </si>
  <si>
    <t>Pintura plßstica mate en interiores, color a elegir</t>
  </si>
  <si>
    <t>Aplicaci«n manual de dos manos de pintura plßstica color a elegir, acabado mate, textura lisa, la primera mano diluida con un 20% de agua y la siguiente sin diluir, (rendimiento: 0,1 l/m_ cada mano); previa aplicaci«n de una mano de imprimaci«n a base de copolØmeros acrØlicos en suspensi«n acuosa, sobre paramento interior de yeso proyectado o placas de yeso laminado, vertical, de mßs de 3 m de altura. El precio incluye la protecci«n de los elementos del entorno que puedan verse afectados durante los trabajos y la resoluci«n de puntos singulares. Se medirß la superficie realmente ejecutada seg·n especificaciones de Proyecto, con el mismo criterio que el soporte base.</t>
  </si>
  <si>
    <t>Uds.</t>
  </si>
  <si>
    <t>Largo</t>
  </si>
  <si>
    <t>Ancho</t>
  </si>
  <si>
    <t>Alto</t>
  </si>
  <si>
    <t>Parcial</t>
  </si>
  <si>
    <t>Subtotal</t>
  </si>
  <si>
    <t>RAL 9010 BLANCO PURO</t>
  </si>
  <si>
    <t>0</t>
  </si>
  <si>
    <t>OFICINA</t>
  </si>
  <si>
    <t>FRANJA CARDIO</t>
  </si>
  <si>
    <t>PANTALLA SPEED</t>
  </si>
  <si>
    <t>PINTURA AZUL CORPORATIVO (5018)</t>
  </si>
  <si>
    <t>PINTURA AMARILLO SEÐALES (1003)</t>
  </si>
  <si>
    <t>0</t>
  </si>
  <si>
    <t>PILAR SPEED</t>
  </si>
  <si>
    <t>RAL 7024 GRIS GRAFITO</t>
  </si>
  <si>
    <t>0</t>
  </si>
  <si>
    <t>CARDIO</t>
  </si>
  <si>
    <t>STRENGTH</t>
  </si>
  <si>
    <t>(Pilares)</t>
  </si>
  <si>
    <t>(Pilares) Agilty</t>
  </si>
  <si>
    <t>VEST_BULO</t>
  </si>
  <si>
    <t>ENTRADA</t>
  </si>
  <si>
    <t>OFICINA</t>
  </si>
  <si>
    <t>CIRCULACIËN</t>
  </si>
  <si>
    <t>(Ventada oficina)</t>
  </si>
  <si>
    <t>(Taquillas)</t>
  </si>
  <si>
    <t>ZONA BOOTY/ CROSS</t>
  </si>
  <si>
    <t>(Pilares) Zona Booty/Cross</t>
  </si>
  <si>
    <t>ACCESO VESTUARIOS</t>
  </si>
  <si>
    <t>FUENTE</t>
  </si>
  <si>
    <t>PESO LIBRE</t>
  </si>
  <si>
    <t>(Pilares)</t>
  </si>
  <si>
    <t>AGILITY</t>
  </si>
  <si>
    <t>(Pilares) Agilty</t>
  </si>
  <si>
    <t>(VentaNa agility)</t>
  </si>
  <si>
    <t>SPEED</t>
  </si>
  <si>
    <t>(Pilares)</t>
  </si>
  <si>
    <t>05023</t>
  </si>
  <si>
    <t>Partida</t>
  </si>
  <si>
    <t>m_</t>
  </si>
  <si>
    <t>Pintura plßstica mate en interiores (horizontal), color a elegir</t>
  </si>
  <si>
    <t>Aplicaci«n manual de dos manos de pintura plßstica color a elegir, acabado mate, textura lisa, la primera mano diluida con un 20% de agua y la siguiente sin diluir, (rendimiento: 0,13 l/m_ cada mano); previa aplicaci«n de una mano de imprimaci«n a base de copolØmeros acrØlicos en suspensi«n acuosa, sobre paramento interior de yeso proyectado o placas de yeso laminado, horizontal, a mßs de 2,80  m de altura, incluso parte proporcional de particiones verticales a mßs de esa altura y parte proporcional de instalaciones. Incluso plaste de interior para eliminar peque±as imperfecciones y soluci«n de ßcido clorhØdrico al 10% para eliminar las eflorescencias salinas (salitre) presentes en el 10% de la superficie soporte. El precio incluye la protecci«n de los elementos del entorno que puedan verse afectados durante los trabajos y la resoluci«n de puntos singulares. Se medirß la superficie realmente ejecutada medida en proyecci«n horizontal.</t>
  </si>
  <si>
    <t>Uds.</t>
  </si>
  <si>
    <t>Largo</t>
  </si>
  <si>
    <t>Ancho</t>
  </si>
  <si>
    <t>Alto</t>
  </si>
  <si>
    <t>Parcial</t>
  </si>
  <si>
    <t>Subtotal</t>
  </si>
  <si>
    <t>PINTURA GRIS GRAFITO RAL 7024</t>
  </si>
  <si>
    <t>0</t>
  </si>
  <si>
    <t>05021</t>
  </si>
  <si>
    <t>Partida</t>
  </si>
  <si>
    <t>m_</t>
  </si>
  <si>
    <t>Pintura pÚtrea mate en exteriores, color a elegir</t>
  </si>
  <si>
    <t>Aplicaci«n manual de dos manos de pintura pÚtrea color a elegir, acabado mate, textura lisa, la primera mano diluida con un 15 a 20% de agua y la siguiente diluida con un 5 a 10% de agua o sin diluir, (rendimiento: 0,1 l/m_ cada mano); previa aplicaci«n de una mano de imprimaci«n acrØlica reguladora de la absorci«n, sobre paramento exterior de mortero. El precio incluye la protecci«n de los elementos del entorno que puedan verse afectados durante los trabajos y la resoluci«n de puntos singulares. Se medirß la superficie realmente ejecutada seg·n especificaciones de Proyecto, con el mismo criterio que el soporte base.
Mßscara de corte en franjas en paredes pintadas en RAL 9004 Negro Se±ales.</t>
  </si>
  <si>
    <t>Uds.</t>
  </si>
  <si>
    <t>Largo</t>
  </si>
  <si>
    <t>Ancho</t>
  </si>
  <si>
    <t>Alto</t>
  </si>
  <si>
    <t>Parcial</t>
  </si>
  <si>
    <t>Subtotal</t>
  </si>
  <si>
    <t>RAL 9004 (NEGRO SEÐALES)</t>
  </si>
  <si>
    <t>0</t>
  </si>
  <si>
    <t>FACHADA PRINCIPAL</t>
  </si>
  <si>
    <t>(Retranqueo acceso)</t>
  </si>
  <si>
    <t>(Retranqueo salida de emergencia)</t>
  </si>
  <si>
    <t>(Plano horizontal acceso)</t>
  </si>
  <si>
    <t>(Plano horizontal salida de emergencia) 1</t>
  </si>
  <si>
    <t>(Plano horizontal salida de emergencia) 2</t>
  </si>
  <si>
    <t>FACHADA TRASERA</t>
  </si>
  <si>
    <t>FACHADA PRINCIPAL</t>
  </si>
  <si>
    <t>05024</t>
  </si>
  <si>
    <t>Partida</t>
  </si>
  <si>
    <t>m_</t>
  </si>
  <si>
    <t>Pintura esmalte sintÚtico negro mate sobre hierro o acero</t>
  </si>
  <si>
    <t>Esmalte sintÚtico, color negro, acabado mate, sobre superficie de hierro o acero, limpieza y preparaci«n de la superficie a pintar, mediante medios manuales hasta dejarla exenta de grasas, dos manos de imprimaci«n, con un espesor mØnimo de pelØcula seca de 45 micras por mano (rendimiento: 0,111 l/m_) y dos manos de acabado con esmalte sintÚtico con un espesor mØnimo de pelØcula seca de 35 micras por mano (rendimiento: 0,08 l/m_). Se medirß la superficie realmente ejecutada seg·n especificaciones de Proyecto, por una sola cara, considerando la superficie que encierran, definida por sus dimensiones mßximas.
RAL 9005 Negro Intenso</t>
  </si>
  <si>
    <t>Uds.</t>
  </si>
  <si>
    <t>Largo</t>
  </si>
  <si>
    <t>Ancho</t>
  </si>
  <si>
    <t>Alto</t>
  </si>
  <si>
    <t>Parcial</t>
  </si>
  <si>
    <t>Subtotal</t>
  </si>
  <si>
    <t>Ral 9005 NEGRO SEÐALES</t>
  </si>
  <si>
    <t>0</t>
  </si>
  <si>
    <t>FACHADA PRINCIPAL</t>
  </si>
  <si>
    <t>FACHADA TRASERA</t>
  </si>
  <si>
    <t>PUERTA SALIDA EMERGENCIA</t>
  </si>
  <si>
    <t>PUERTA PCI</t>
  </si>
  <si>
    <t>PUERTA TECNIC/ ACS</t>
  </si>
  <si>
    <t>PASAMANOS</t>
  </si>
  <si>
    <t>05326</t>
  </si>
  <si>
    <t>Partida</t>
  </si>
  <si>
    <t>m_</t>
  </si>
  <si>
    <t>Pintura tipo pizarra</t>
  </si>
  <si>
    <t>Aplicaci«n manual de dos manos de pintura tipo pizarra color a elegir, acabado mate, textura lisa, la primera mano diluida con un 20% de agua y la siguiente sin diluir, (rendimiento: 0,1 l/m_ cada mano); previa aplicaci«n de una mano de imprimaci«n a base de copolØmeros acrØlicos en suspensi«n acuosa, sobre paramento interior de yeso proyectado o placas de yeso laminado, vertical, de mßs de 3 m de altura. El precio incluye la protecci«n de los elementos del entorno que puedan verse afectados durante los trabajos y la resoluci«n de puntos singulares. Se medirß la superficie realmente ejecutada seg·n especificaciones de Proyecto, con el mismo criterio que el soporte base.</t>
  </si>
  <si>
    <t>Uds.</t>
  </si>
  <si>
    <t>Largo</t>
  </si>
  <si>
    <t>Ancho</t>
  </si>
  <si>
    <t>Alto</t>
  </si>
  <si>
    <t>Parcial</t>
  </si>
  <si>
    <t>Subtotal</t>
  </si>
  <si>
    <t>PESO LIBRE</t>
  </si>
  <si>
    <t>0</t>
  </si>
  <si>
    <t>I_GRE_7740</t>
  </si>
  <si>
    <t>Partida</t>
  </si>
  <si>
    <t>m</t>
  </si>
  <si>
    <t>Revestimiento mural GERFLOR Manhattan 7740 Fabrik Silk</t>
  </si>
  <si>
    <t>Revestimiento mural Gerflor Manhattan 7740 Fabric Silkl en paramentos verticales, fijaci«n con cola celul«sica, soluble en agua, sobre la superficie regularizada de paramentos verticales interiores, incluso peque±o material, mano de obra, elementos auxiliares, cantoneras y piezas especiales para encuentros singulares. Se medirß la superficie realmente ejecutada seg·n especificaciones de Proyecto, deduciendo los huecos de superficie mayor de 2 m_.</t>
  </si>
  <si>
    <t>Uds.</t>
  </si>
  <si>
    <t>Largo</t>
  </si>
  <si>
    <t>Ancho</t>
  </si>
  <si>
    <t>Alto</t>
  </si>
  <si>
    <t>Parcial</t>
  </si>
  <si>
    <t>Subtotal</t>
  </si>
  <si>
    <t>CARDIO</t>
  </si>
  <si>
    <t>STRENGTH</t>
  </si>
  <si>
    <t>(Pilares)</t>
  </si>
  <si>
    <t>VEST_BULO</t>
  </si>
  <si>
    <t>ENTRADA</t>
  </si>
  <si>
    <t>OFICINA</t>
  </si>
  <si>
    <t>CIRCULACIËN 1</t>
  </si>
  <si>
    <t>(Ventada agility)</t>
  </si>
  <si>
    <t>(Taquillas)</t>
  </si>
  <si>
    <t>ACCESO VESTUARIOS</t>
  </si>
  <si>
    <t>FUENTE</t>
  </si>
  <si>
    <t>I_GER_7721</t>
  </si>
  <si>
    <t>Partida</t>
  </si>
  <si>
    <t>m</t>
  </si>
  <si>
    <t>Revestimiento mural GERFLOR Manhattan 7721 Mist</t>
  </si>
  <si>
    <t>Revestimiento mural GERFLOR Manhattan 7721 Mist</t>
  </si>
  <si>
    <t>Uds.</t>
  </si>
  <si>
    <t>Largo</t>
  </si>
  <si>
    <t>Ancho</t>
  </si>
  <si>
    <t>Alto</t>
  </si>
  <si>
    <t>Parcial</t>
  </si>
  <si>
    <t>Subtotal</t>
  </si>
  <si>
    <t>PESO LIBRE</t>
  </si>
  <si>
    <t>(Pilares)</t>
  </si>
  <si>
    <t>ZONA BOOTY/ CROSS</t>
  </si>
  <si>
    <t>(Pilares)</t>
  </si>
  <si>
    <t>(Pilares)</t>
  </si>
  <si>
    <t>AGILITY</t>
  </si>
  <si>
    <t>(Pilares)</t>
  </si>
  <si>
    <t>05017D</t>
  </si>
  <si>
    <t>Partida</t>
  </si>
  <si>
    <t>m_</t>
  </si>
  <si>
    <t>Revestimiento mural GERFLOR Manhattan 7611 Snow</t>
  </si>
  <si>
    <t>Revestimiento mural Gerflor Manhattan 7611 Snow en paramentos verticales, fijaci«n con cola celul«sica, soluble en agua, sobre la superficie regularizada de paramentos verticales interiores, incluso peque±o material, mano de obra, elementos auxiliares, cantoneras y piezas especiales para encuentros singulares. Se medirß la superficie realmente ejecutada seg·n especificaciones de Proyecto, deduciendo los huecos de superficie mayor de 2 m_.</t>
  </si>
  <si>
    <t>Uds.</t>
  </si>
  <si>
    <t>Largo</t>
  </si>
  <si>
    <t>Ancho</t>
  </si>
  <si>
    <t>Alto</t>
  </si>
  <si>
    <t>Parcial</t>
  </si>
  <si>
    <t>Subtotal</t>
  </si>
  <si>
    <t>ACCESO VESTUARIOS</t>
  </si>
  <si>
    <t>0</t>
  </si>
  <si>
    <t>ALZADO P-N</t>
  </si>
  <si>
    <t>ALZADO O</t>
  </si>
  <si>
    <t>ALZADO S-R</t>
  </si>
  <si>
    <t>ALZADO Q</t>
  </si>
  <si>
    <t>0602107</t>
  </si>
  <si>
    <t>Partida</t>
  </si>
  <si>
    <t>m</t>
  </si>
  <si>
    <t>RodapiÚ MDF prelacado 70x10 mm</t>
  </si>
  <si>
    <t>RodapiÚ de MDF hidr«fugo, de 70x10 mm, prelacado en color seg·n proyecto, fijado al paramento mediante adhesivo de montaje. Se medirß la longitud realmente ejecutada seg·n especificaciones de Proyecto.</t>
  </si>
  <si>
    <t>Uds.</t>
  </si>
  <si>
    <t>Largo</t>
  </si>
  <si>
    <t>Ancho</t>
  </si>
  <si>
    <t>Alto</t>
  </si>
  <si>
    <t>Parcial</t>
  </si>
  <si>
    <t>Subtotal</t>
  </si>
  <si>
    <t>NOTA: (Medici«n doblada para previsi«n de z«calo superior)</t>
  </si>
  <si>
    <t>0</t>
  </si>
  <si>
    <t>ZDM1</t>
  </si>
  <si>
    <t>0</t>
  </si>
  <si>
    <t>(Pilares)</t>
  </si>
  <si>
    <t>VEST_BULO</t>
  </si>
  <si>
    <t>ENTRADA</t>
  </si>
  <si>
    <t>OFICINA</t>
  </si>
  <si>
    <t>CIRCULACIËN</t>
  </si>
  <si>
    <t>(Ventada agility)</t>
  </si>
  <si>
    <t>(Taquillas)</t>
  </si>
  <si>
    <t>ACCESO VESTUARIOS</t>
  </si>
  <si>
    <t>SALA AGILITY</t>
  </si>
  <si>
    <t>FUENTE</t>
  </si>
  <si>
    <t>ZDM4</t>
  </si>
  <si>
    <t>0</t>
  </si>
  <si>
    <t>SPEED</t>
  </si>
  <si>
    <t>ACCESO VESTUARIOS</t>
  </si>
  <si>
    <t>VESTUARIOS MASC</t>
  </si>
  <si>
    <t>VESTUARIOS FEM</t>
  </si>
  <si>
    <t>LIMPIEZA</t>
  </si>
  <si>
    <t>0602112</t>
  </si>
  <si>
    <t>Partida</t>
  </si>
  <si>
    <t>m</t>
  </si>
  <si>
    <t>RodapiÚ MDF prelacado 120x10 mm</t>
  </si>
  <si>
    <t>RodapiÚ de MDF hidr«fugo, de 120x10 mm, prelacado en color seg·n proyecto, fijado al paramento mediante adhesivo de montaje. Se medirß la longitud realmente ejecutada seg·n especificaciones de Proyecto.</t>
  </si>
  <si>
    <t>Uds.</t>
  </si>
  <si>
    <t>Largo</t>
  </si>
  <si>
    <t>Ancho</t>
  </si>
  <si>
    <t>Alto</t>
  </si>
  <si>
    <t>Parcial</t>
  </si>
  <si>
    <t>Subtotal</t>
  </si>
  <si>
    <t>PUERTA AGILITY</t>
  </si>
  <si>
    <t>PUERTA SPEED</t>
  </si>
  <si>
    <t>W1 (Ventana agility)</t>
  </si>
  <si>
    <t>Tapeta de remate por cambio de material</t>
  </si>
  <si>
    <t>I_VINILO</t>
  </si>
  <si>
    <t>Partida</t>
  </si>
  <si>
    <t>m_</t>
  </si>
  <si>
    <t>Vinilo ventanas fachada patio</t>
  </si>
  <si>
    <t>Vinilo adhesivo para aplicaci«n en ventana para fachada trasera.</t>
  </si>
  <si>
    <t>Uds.</t>
  </si>
  <si>
    <t>Largo</t>
  </si>
  <si>
    <t>Ancho</t>
  </si>
  <si>
    <t>Alto</t>
  </si>
  <si>
    <t>Parcial</t>
  </si>
  <si>
    <t>Subtotal</t>
  </si>
  <si>
    <t>VINILO VENTANAS</t>
  </si>
  <si>
    <t>SG05</t>
  </si>
  <si>
    <t>SG06</t>
  </si>
  <si>
    <t>Capítulo</t>
  </si>
  <si>
    <t>Pavimentos</t>
  </si>
  <si>
    <t>06022</t>
  </si>
  <si>
    <t>Partida</t>
  </si>
  <si>
    <t>m_</t>
  </si>
  <si>
    <t>Solado de baldosas de terrazo para uso exterior, bajorrelieve</t>
  </si>
  <si>
    <t>Solado de baldosas de terrazo para uso exterior, acabado bajorrelieve sin pulir, resistencia a flexi«n T, carga de rotura 4, resistencia al desgaste por abrasi«n B, 40x40 cm, gris, para uso privado en zona de parques y jardines, colocadas al tendido sobre capa de arena-cemento y relleno de juntas con arena silØcea de tama±o 0/2 mm; todo ello realizado sobre solera de hormig«n no estructural (HNE-20/P/20), de 10 cm de espesor, vertido con cubilote con extendido y vibrado manual con regla vibrante de 3 m, con acabado maestreado. Se medirß, en proyecci«n horizontal, la superficie realmente ejecutada seg·n especificaciones de Proyecto, deduciendo los huecos de superficie mayor de 1,5 m_.</t>
  </si>
  <si>
    <t>Uds.</t>
  </si>
  <si>
    <t>Largo</t>
  </si>
  <si>
    <t>Ancho</t>
  </si>
  <si>
    <t>Alto</t>
  </si>
  <si>
    <t>Parcial</t>
  </si>
  <si>
    <t>Subtotal</t>
  </si>
  <si>
    <t>G2</t>
  </si>
  <si>
    <t>0</t>
  </si>
  <si>
    <t>ACCESO PRINCIPAL</t>
  </si>
  <si>
    <t>SALIDA DE EVACUACIËN 1</t>
  </si>
  <si>
    <t>SALIDA DE EVACUACIËN 2</t>
  </si>
  <si>
    <t>06014A4BG</t>
  </si>
  <si>
    <t>Partida</t>
  </si>
  <si>
    <t>m_</t>
  </si>
  <si>
    <t>Pavimento caucho SBR GORILASTIC Gris 1000x500x40mm GRUESO</t>
  </si>
  <si>
    <t>Pavimento caucho SBR GORILASTIC Gris 1000x500x40mm GRUESO</t>
  </si>
  <si>
    <t>Uds.</t>
  </si>
  <si>
    <t>Largo</t>
  </si>
  <si>
    <t>Ancho</t>
  </si>
  <si>
    <t>Alto</t>
  </si>
  <si>
    <t>Parcial</t>
  </si>
  <si>
    <t>Subtotal</t>
  </si>
  <si>
    <t>SBR2</t>
  </si>
  <si>
    <t>0</t>
  </si>
  <si>
    <t>CIRCULACIËN PESO LIBRE</t>
  </si>
  <si>
    <t>06006B</t>
  </si>
  <si>
    <t>Partida</t>
  </si>
  <si>
    <t>m_</t>
  </si>
  <si>
    <t>Solado baldosas gres porcelßnico SALONI Menhir 30x60cm</t>
  </si>
  <si>
    <t>Solado de baldosas cerßmicas de gres porcelßnico SALONI Menhir 30x60cm antracita, capacidad de absorci«n de agua E&lt;0,5%, grupo BIa, resistencia al deslizamiento Rd&gt;45, clase 3, recibidas con adhesivo cementoso de fraguado normal, C1 sin ninguna caracterØstica adicional, color gris con doble encolado y rejuntadas con mortero de juntas cementoso tipo L, color negro, para juntas de hasta 3 mm. Se medirß la superficie realmente ejecutada seg·n especificaciones de Proyecto.</t>
  </si>
  <si>
    <t>Uds.</t>
  </si>
  <si>
    <t>Largo</t>
  </si>
  <si>
    <t>Ancho</t>
  </si>
  <si>
    <t>Alto</t>
  </si>
  <si>
    <t>Parcial</t>
  </si>
  <si>
    <t>Subtotal</t>
  </si>
  <si>
    <t>G1</t>
  </si>
  <si>
    <t>0</t>
  </si>
  <si>
    <t>VESTUARIO MASC</t>
  </si>
  <si>
    <t>DUCHAS MASC</t>
  </si>
  <si>
    <t>ASEOS MASC</t>
  </si>
  <si>
    <t>VESTUARIOS FEM</t>
  </si>
  <si>
    <t>DUCHAS FEM</t>
  </si>
  <si>
    <t>ASEOS FEM</t>
  </si>
  <si>
    <t>ASEO ADAPTADO</t>
  </si>
  <si>
    <t>SALA LIMPIEZA</t>
  </si>
  <si>
    <t>06025</t>
  </si>
  <si>
    <t>Partida</t>
  </si>
  <si>
    <t>m_</t>
  </si>
  <si>
    <t>Pavimento vinØlico GERFLOR Bostonian Oak Honey</t>
  </si>
  <si>
    <t>Pavimento vinØlico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presi«n. Antiestßtico y  acabado con tratamiento poliuretßnico PUR+ Matt, fijado con el adhesivo recomendado por el fabricante. Se medirß la superficie realmente ejecutada seg·n especificaciones de Proyecto, deduciendo los huecos de superficie mayor de 1 m_.</t>
  </si>
  <si>
    <t>Uds.</t>
  </si>
  <si>
    <t>Largo</t>
  </si>
  <si>
    <t>Ancho</t>
  </si>
  <si>
    <t>Alto</t>
  </si>
  <si>
    <t>Parcial</t>
  </si>
  <si>
    <t>Subtotal</t>
  </si>
  <si>
    <t>PV2</t>
  </si>
  <si>
    <t>0</t>
  </si>
  <si>
    <t>ENTRADA</t>
  </si>
  <si>
    <t>VEST_BULO</t>
  </si>
  <si>
    <t>OFICINA</t>
  </si>
  <si>
    <t>CIRCULACIËN</t>
  </si>
  <si>
    <t>I_OAK.FAN</t>
  </si>
  <si>
    <t>Partida</t>
  </si>
  <si>
    <t>m_</t>
  </si>
  <si>
    <t>PAVIMENTO VIN_LICO GERFLOR Royal Oak Fantasy Brown</t>
  </si>
  <si>
    <t>PAVIMENTO VIN_LICO GERFLOR Royal Oak Fantasy Brown Pavimento de parquet laminado GERFLOR 1294 Royal Oak Fantasy Brown con sistema click.</t>
  </si>
  <si>
    <t>Uds.</t>
  </si>
  <si>
    <t>Largo</t>
  </si>
  <si>
    <t>Ancho</t>
  </si>
  <si>
    <t>Alto</t>
  </si>
  <si>
    <t>Parcial</t>
  </si>
  <si>
    <t>Subtotal</t>
  </si>
  <si>
    <t>PV1</t>
  </si>
  <si>
    <t>0</t>
  </si>
  <si>
    <t>CARDIO</t>
  </si>
  <si>
    <t>STRENGTH</t>
  </si>
  <si>
    <t>SPEED</t>
  </si>
  <si>
    <t>06014A4G</t>
  </si>
  <si>
    <t>Partida</t>
  </si>
  <si>
    <t>m_</t>
  </si>
  <si>
    <t>Pavimento caucho SBR GORILASTIC Fullblack 1000x500x40mm GRUESO</t>
  </si>
  <si>
    <t>Pavimento caucho SBR GORILASTIC Fullblack 1000x500x40mm GRUESO</t>
  </si>
  <si>
    <t>Uds.</t>
  </si>
  <si>
    <t>Largo</t>
  </si>
  <si>
    <t>Ancho</t>
  </si>
  <si>
    <t>Alto</t>
  </si>
  <si>
    <t>Parcial</t>
  </si>
  <si>
    <t>Subtotal</t>
  </si>
  <si>
    <t>SBR4</t>
  </si>
  <si>
    <t>0</t>
  </si>
  <si>
    <t>PESO LIBRE</t>
  </si>
  <si>
    <t>ZONA BOOTY</t>
  </si>
  <si>
    <t>CROSS</t>
  </si>
  <si>
    <t>Peso muerto</t>
  </si>
  <si>
    <t>SBR5 (ROJO)</t>
  </si>
  <si>
    <t>0</t>
  </si>
  <si>
    <t>PESO MUERTO</t>
  </si>
  <si>
    <t>06024</t>
  </si>
  <si>
    <t>Partida</t>
  </si>
  <si>
    <t>m</t>
  </si>
  <si>
    <t>Perfil de transici«n de aluminio macizo, 50x2mm</t>
  </si>
  <si>
    <t>Perfil de transici«n entre pavimentos fabricado Øntegramente en aluminio estrusionado, acabado plata mate, modelo "RAMPA MACIZA 2MM" de pletinas DICAR. Se medira longitud realmente ejecutada seg·n las especificaciones de proyecto</t>
  </si>
  <si>
    <t>Uds.</t>
  </si>
  <si>
    <t>Largo</t>
  </si>
  <si>
    <t>Ancho</t>
  </si>
  <si>
    <t>Alto</t>
  </si>
  <si>
    <t>Parcial</t>
  </si>
  <si>
    <t>Subtotal</t>
  </si>
  <si>
    <t>PERFILES INTERIORES</t>
  </si>
  <si>
    <t>0</t>
  </si>
  <si>
    <t>ACS</t>
  </si>
  <si>
    <t>PCI</t>
  </si>
  <si>
    <t>VESTUARIOS</t>
  </si>
  <si>
    <t>ASEOS ADAPTADOS</t>
  </si>
  <si>
    <t>SPEED</t>
  </si>
  <si>
    <t>AGILITY</t>
  </si>
  <si>
    <t>OFICINA</t>
  </si>
  <si>
    <t>SALA TECNIC</t>
  </si>
  <si>
    <t>LIMPIEZA</t>
  </si>
  <si>
    <t>PERFILES EXTERIORES</t>
  </si>
  <si>
    <t>0</t>
  </si>
  <si>
    <t>PUERTA EVACUACIËN</t>
  </si>
  <si>
    <t>PUERTA DE ACCESO</t>
  </si>
  <si>
    <t>06030</t>
  </si>
  <si>
    <t>Partida</t>
  </si>
  <si>
    <t>m</t>
  </si>
  <si>
    <t>Perfil de remate en Z de aluminio macizo, 80x2mm</t>
  </si>
  <si>
    <t>Perfil en Z de transici«n  para salvar desniveles entre pavimentos, fabricado Øntegramente en aluminio estrusionado, acabado plata mate, incluso corte y pliegues, material de agarre y tornillerØa. Se medira longitud realmente ejecutada seg·n las especificaciones de proyecto.</t>
  </si>
  <si>
    <t>Uds.</t>
  </si>
  <si>
    <t>Largo</t>
  </si>
  <si>
    <t>Ancho</t>
  </si>
  <si>
    <t>Alto</t>
  </si>
  <si>
    <t>Parcial</t>
  </si>
  <si>
    <t>Subtotal</t>
  </si>
  <si>
    <t>PESO LIBRE</t>
  </si>
  <si>
    <t>PESO LIBRE/ ZONA BOOTY</t>
  </si>
  <si>
    <t>STRENGTH/ CIRCULACION</t>
  </si>
  <si>
    <t>060235</t>
  </si>
  <si>
    <t>Partida</t>
  </si>
  <si>
    <t>m</t>
  </si>
  <si>
    <t>Cinta para balizamiento amarilla y negra</t>
  </si>
  <si>
    <t>Cinta adhesiva de se±alizaci«n en vinilo a rayas amarillas y negra, de 15mm de anchura. Medida la longitud lineal realmente instalada.</t>
  </si>
  <si>
    <t>Uds.</t>
  </si>
  <si>
    <t>Largo</t>
  </si>
  <si>
    <t>Ancho</t>
  </si>
  <si>
    <t>Alto</t>
  </si>
  <si>
    <t>Parcial</t>
  </si>
  <si>
    <t>Subtotal</t>
  </si>
  <si>
    <t>CINTA BALIZAMIENTO</t>
  </si>
  <si>
    <t>0602328</t>
  </si>
  <si>
    <t>Partida</t>
  </si>
  <si>
    <t>m</t>
  </si>
  <si>
    <t>Cinta antideslizante</t>
  </si>
  <si>
    <t>Cinta autoadhesiva antideslizante, color negro de 25mm de ancho. Medida la longitud realmente ejecutada</t>
  </si>
  <si>
    <t>Uds.</t>
  </si>
  <si>
    <t>Largo</t>
  </si>
  <si>
    <t>Ancho</t>
  </si>
  <si>
    <t>Alto</t>
  </si>
  <si>
    <t>Parcial</t>
  </si>
  <si>
    <t>Subtotal</t>
  </si>
  <si>
    <t>RAMPAS FREE WEIGHT</t>
  </si>
  <si>
    <t>RAMPAS VESTUARIOS</t>
  </si>
  <si>
    <t>RAMPAS VESTUARIOS</t>
  </si>
  <si>
    <t>RAMPAS ENTRADA</t>
  </si>
  <si>
    <t>I_OAK_BEIGE</t>
  </si>
  <si>
    <t>Partida</t>
  </si>
  <si>
    <t>m_</t>
  </si>
  <si>
    <t>Pavimento de parquet laminado CREA 30 SOLID CLIC BOSTONIAN OAK B</t>
  </si>
  <si>
    <t>Pavimento de parquet laminado CREA 30 SOLID CLIC BOSTONIAN OAK B</t>
  </si>
  <si>
    <t>Uds.</t>
  </si>
  <si>
    <t>Largo</t>
  </si>
  <si>
    <t>Ancho</t>
  </si>
  <si>
    <t>Alto</t>
  </si>
  <si>
    <t>Parcial</t>
  </si>
  <si>
    <t>Subtotal</t>
  </si>
  <si>
    <t>AGILITY</t>
  </si>
  <si>
    <t>I_CAU</t>
  </si>
  <si>
    <t>Partida</t>
  </si>
  <si>
    <t>u</t>
  </si>
  <si>
    <t>baldosas resistente</t>
  </si>
  <si>
    <t>Baldosas resistentes para ser instaladas como superficie de apoyo bajo maquinaria, formado por baldosas  u otro fabricante siempre previa aceptaci«n por parte de DF, color seg·n proyecto, de 1000x500x40 mm, recibidas con adhesivo especial de poliuretano bicomponente, sobre una superficie base. Se medirß la superficie realmente ejecutada seg·n especificaciones de Proyecto.</t>
  </si>
  <si>
    <t>Uds.</t>
  </si>
  <si>
    <t>Largo</t>
  </si>
  <si>
    <t>Ancho</t>
  </si>
  <si>
    <t>Alto</t>
  </si>
  <si>
    <t>Parcial</t>
  </si>
  <si>
    <t>Subtotal</t>
  </si>
  <si>
    <t>Baldosa rØgida</t>
  </si>
  <si>
    <t>06029G</t>
  </si>
  <si>
    <t>Partida</t>
  </si>
  <si>
    <t>m</t>
  </si>
  <si>
    <t>Remate lateral baldosas caucho SBR Fullblack 1000x250x40mm GRUES</t>
  </si>
  <si>
    <t>Remate lateral baldosas caucho SBR Fullblack 1000x250x40mm GRUES</t>
  </si>
  <si>
    <t>Uds.</t>
  </si>
  <si>
    <t>Largo</t>
  </si>
  <si>
    <t>Ancho</t>
  </si>
  <si>
    <t>Alto</t>
  </si>
  <si>
    <t>Parcial</t>
  </si>
  <si>
    <t>Subtotal</t>
  </si>
  <si>
    <t>PREVISIËN POR DESNIVELES</t>
  </si>
  <si>
    <t>SG06</t>
  </si>
  <si>
    <t>SG07</t>
  </si>
  <si>
    <t>Capítulo</t>
  </si>
  <si>
    <t>CarpinterØas y Vidrios</t>
  </si>
  <si>
    <t>07002</t>
  </si>
  <si>
    <t>Partida</t>
  </si>
  <si>
    <t>m_</t>
  </si>
  <si>
    <t>CarpinterØa aluminio lacado, gama media rotura puente tÚrmico</t>
  </si>
  <si>
    <t>CarpinterØa de aluminio lacado especial, con 60 micras de espesor mØnimo de pelØcula seca, en cerramiento de zaguanes de entrada al edificio, formada por hojas fijas y practicables; certificado de conformidad marca de calidad QUALICOAT, gama media, con rotura de puente tÚrmico, con clasificaci«n a la permeabilidad al aire seg·n UNE-EN 12207, a la estanqueidad al agua seg·n UNE-EN 12208 y a la resistencia a la carga del viento seg·n UNE-EN 12210, con premarco; compuesta por perfiles extrusionados formando cercos y hojas de 1,5 mm de espesor mØnimo en perfiles estructurales, herrajes de colgar, cerradura, manivela y abrepuertas, juntas de acristalamiento de EPDM, tornillerØa de acero inoxidable, elementos de estanqueidad, accesorios y utillajes de mecanizado homologados. Incluso silicona para sellado perimetral de las juntas exterior e interior, entre la carpinterØa y la obra. El precio no incluye el recibido en obra del premarco. Se medirß, con las dimensiones del hueco, la superficie realmente ejecutada seg·n especificaciones de Proyecto.
Puerta de acceso con barra antipßnico y tirador.</t>
  </si>
  <si>
    <t>Uds.</t>
  </si>
  <si>
    <t>Largo</t>
  </si>
  <si>
    <t>Ancho</t>
  </si>
  <si>
    <t>Alto</t>
  </si>
  <si>
    <t>Parcial</t>
  </si>
  <si>
    <t>Subtotal</t>
  </si>
  <si>
    <t>PUERTA ACCESO</t>
  </si>
  <si>
    <t>VENTANALES FACHADA</t>
  </si>
  <si>
    <t>0</t>
  </si>
  <si>
    <t>W1</t>
  </si>
  <si>
    <t>W2</t>
  </si>
  <si>
    <t>W3</t>
  </si>
  <si>
    <t>W4</t>
  </si>
  <si>
    <t>07003</t>
  </si>
  <si>
    <t>Partida</t>
  </si>
  <si>
    <t>m_</t>
  </si>
  <si>
    <t>CarpinterØa aluminio lacado, gama bßsica</t>
  </si>
  <si>
    <t>CarpinterØa de aluminio lacado especial, con 60 micras de espesor mØnimo de pelØcula seca, en cerramiento de zaguanes de entrada al edificio, formada por hojas fijas y practicables; certificado de conformidad marca de calidad QUALICOAT, gama bßsica, con clasificaci«n a la permeabilidad al aire seg·n UNE-EN 12207, a la estanqueidad al agua seg·n UNE-EN 12208 y a la resistencia a la carga del viento seg·n UNE-EN 12210, con premarco; compuesta por perfiles extrusionados formando cercos y hojas de 1,5 mm de espesor mØnimo en perfiles estructurales, herrajes de colgar, cerradura, manivela y abrepuertas, juntas de acristalamiento de EPDM, tornillerØa de acero inoxidable, elementos de estanqueidad, accesorios y utillajes de mecanizado homologados. Incluso silicona para sellado perimetral de las juntas exterior e interior, entre la carpinterØa y la obra. El precio no incluye el recibido en obra del premarco. Se medirß, con las dimensiones del hueco, la superficie realmente ejecutada seg·n especificaciones de Proyecto.</t>
  </si>
  <si>
    <t>Uds.</t>
  </si>
  <si>
    <t>Largo</t>
  </si>
  <si>
    <t>Ancho</t>
  </si>
  <si>
    <t>Alto</t>
  </si>
  <si>
    <t>Parcial</t>
  </si>
  <si>
    <t>Subtotal</t>
  </si>
  <si>
    <t>P1D (PUERTA AGILITY)</t>
  </si>
  <si>
    <t>P1D (PUERTA SPEED)</t>
  </si>
  <si>
    <t>PUERTA OFICINA</t>
  </si>
  <si>
    <t>VENTANAS INTERIORES</t>
  </si>
  <si>
    <t>0</t>
  </si>
  <si>
    <t>V2 (AGILITY)</t>
  </si>
  <si>
    <t>V1 (OFICINA)</t>
  </si>
  <si>
    <t>0706551644</t>
  </si>
  <si>
    <t>Partida</t>
  </si>
  <si>
    <t>m_</t>
  </si>
  <si>
    <t>Vidrio termoac·stico CLIMALITE SILENCE 55.1(16air)44.1Si</t>
  </si>
  <si>
    <t>Doble acristalamiento laminar ac·stico,  CLIMALITE SILENCE 55.1(16air)44.2Si, conjunto formado por vidrio exterior laminar ac·stico de 5+5 mm compuesto por dos lunas de vidrio de 4 mm, unidas mediante una lßmina incolora de butiral de polivinilo cßmara de aire deshidratada con perfil separador de aluminio y doble sellado perimetral, de 16 mm, y vidrio interior laminar ac·stico de 4+4 mm compuesto por dos lunas de vidrio de 4 mm, unidas mediante una lßmina incolora de butiral de polivinilo; 26 mm de espesor total, fijado sobre carpinterØa con acu±ado mediante calzos de apoyo perimetrales y laterales, sellado en frØo con silicona sintÚtica incolora, compatible con el material soporte. Se medirß la superficie realmente ejecutada seg·n especificaciones de Proyecto, sumando, para cada una de las piezas, la superficie resultante de redondear por exceso cada una de sus aristas a m·ltiplos de 30 mm. Se medirß la superficie realmente ejecutada seg·n especificaciones de Proyecto.</t>
  </si>
  <si>
    <t>Uds.</t>
  </si>
  <si>
    <t>Largo</t>
  </si>
  <si>
    <t>Ancho</t>
  </si>
  <si>
    <t>Alto</t>
  </si>
  <si>
    <t>Parcial</t>
  </si>
  <si>
    <t>Subtotal</t>
  </si>
  <si>
    <t>PUERTA ACCESO</t>
  </si>
  <si>
    <t>VENTANALES FACHADA</t>
  </si>
  <si>
    <t>0</t>
  </si>
  <si>
    <t>W1</t>
  </si>
  <si>
    <t>W2</t>
  </si>
  <si>
    <t>W3</t>
  </si>
  <si>
    <t>W4</t>
  </si>
  <si>
    <t>07066</t>
  </si>
  <si>
    <t>Partida</t>
  </si>
  <si>
    <t>m_</t>
  </si>
  <si>
    <t>Vidrio laminar de seguridad, 6+6 mm</t>
  </si>
  <si>
    <t>Vidrio laminar de seguridad, compuesto por dos lunas de 6 mm de espesor unidas mediante una lßmina incolora de butiral de polivinilo, de 0,38 mm de espesor, clasificaci«n de prestaciones 2B2, seg·n UNE-EN 12600, fijado sobre carpinterØa con acu±ado mediante calzos de apoyo perimetrales y laterales, sellado en frØo con silicona sintÚtica incolora (no acrØlica), compatible con el material soporte. Se medirß la superficie realmente ejecutada seg·n especificaciones de Proyecto, sumando, para cada una de las piezas, la superficie resultante de redondear por exceso cada una de sus aristas a m·ltiplos de 30 mm. Se medirß la superficie realmente ejecutada seg·n especificaciones de Proyecto.</t>
  </si>
  <si>
    <t>Uds.</t>
  </si>
  <si>
    <t>Largo</t>
  </si>
  <si>
    <t>Ancho</t>
  </si>
  <si>
    <t>Alto</t>
  </si>
  <si>
    <t>Parcial</t>
  </si>
  <si>
    <t>Subtotal</t>
  </si>
  <si>
    <t>P1D (PUERTA AGILITY)</t>
  </si>
  <si>
    <t>P1D (PUERTA SPEED)</t>
  </si>
  <si>
    <t>PUERTA OFICINA</t>
  </si>
  <si>
    <t>VENTANAS INTERIORES</t>
  </si>
  <si>
    <t>0</t>
  </si>
  <si>
    <t>V2 (AGILITY)</t>
  </si>
  <si>
    <t>V1 (OFICINA)</t>
  </si>
  <si>
    <t>070075-100</t>
  </si>
  <si>
    <t>Partida</t>
  </si>
  <si>
    <t>ud</t>
  </si>
  <si>
    <t>Puerta tablero MDF prelacada, 1 hoja corredera 100cm</t>
  </si>
  <si>
    <t>Puerta interior corredera ciega, de una hoja de 203x100x3,5 cm, de tablero de MDF para dejar un paso de 80cm como mØnimo, prelacada en color seg·n Proyecto, con moldura de forma recta; precerco de pino paØs de 120x35 mm; galces de MDF de 120x20 mm; tapajuntas de MDF de 100x10 mm; con herrajes de colgar y de cierre. Se medirß el n·mero de unidades realmente ejecutadas seg·n especificaciones de Proyecto.</t>
  </si>
  <si>
    <t>Uds.</t>
  </si>
  <si>
    <t>Largo</t>
  </si>
  <si>
    <t>Ancho</t>
  </si>
  <si>
    <t>Alto</t>
  </si>
  <si>
    <t>Parcial</t>
  </si>
  <si>
    <t>Subtotal</t>
  </si>
  <si>
    <t>P1E (ASEOS ADAPTADOS)</t>
  </si>
  <si>
    <t>07025</t>
  </si>
  <si>
    <t>Partida</t>
  </si>
  <si>
    <t>ud</t>
  </si>
  <si>
    <t>Muelle cierrapuertas sobre puerta de aluminio</t>
  </si>
  <si>
    <t>Muelle cierrapuertas aÚreo sobre puerta de alumino, para un uso frecuente. Se medirß el n·mero de unidades realmente ejecutadas seg·n especificaciones de Proyecto.</t>
  </si>
  <si>
    <t>Uds.</t>
  </si>
  <si>
    <t>Largo</t>
  </si>
  <si>
    <t>Ancho</t>
  </si>
  <si>
    <t>Alto</t>
  </si>
  <si>
    <t>Parcial</t>
  </si>
  <si>
    <t>Subtotal</t>
  </si>
  <si>
    <t>PUERTA ACCESO</t>
  </si>
  <si>
    <t>SALIDA DE EVACUACIËN</t>
  </si>
  <si>
    <t>07064</t>
  </si>
  <si>
    <t>Partida</t>
  </si>
  <si>
    <t>m_</t>
  </si>
  <si>
    <t>Espejo incoloro 5 mm</t>
  </si>
  <si>
    <t>Espejo incoloro, de 5 mm de espesor, con canteado perimetral y protegido con pintura de color plata en su cara posterior, fijado con masilla al paramento. Se medirß la superficie realmente ejecutada seg·n especificaciones de Proyecto.</t>
  </si>
  <si>
    <t>Uds.</t>
  </si>
  <si>
    <t>Largo</t>
  </si>
  <si>
    <t>Ancho</t>
  </si>
  <si>
    <t>Alto</t>
  </si>
  <si>
    <t>Parcial</t>
  </si>
  <si>
    <t>Subtotal</t>
  </si>
  <si>
    <t>PREVISIËN A ESPERAS DE DETERMINAR INTERIORISMO</t>
  </si>
  <si>
    <t>0</t>
  </si>
  <si>
    <t>ESPEJO ASEOS ADAPTADOS</t>
  </si>
  <si>
    <t>ESPEJO ASEOS</t>
  </si>
  <si>
    <t>PESO LIBRE</t>
  </si>
  <si>
    <t>ZONA BOOTY</t>
  </si>
  <si>
    <t>AGILITY</t>
  </si>
  <si>
    <t>07023</t>
  </si>
  <si>
    <t>Partida</t>
  </si>
  <si>
    <t>m_</t>
  </si>
  <si>
    <t>Malla antipßjaros en protecci«n de hueco de ventilaci«n</t>
  </si>
  <si>
    <t>Malla antipßjaros simple torsi«n, de 10 mm de paso de malla y 1,1 mm de dißmetro, acabado galvanizado y marco de perfil L 30.3 de acero galvanizado. Se medirß la superficie realmente ejecutada seg·n especificaciones de Proyecto.</t>
  </si>
  <si>
    <t>Uds.</t>
  </si>
  <si>
    <t>Largo</t>
  </si>
  <si>
    <t>Ancho</t>
  </si>
  <si>
    <t>Alto</t>
  </si>
  <si>
    <t>Parcial</t>
  </si>
  <si>
    <t>Subtotal</t>
  </si>
  <si>
    <t>FACHADA PRINCIPAL</t>
  </si>
  <si>
    <t>FACHADA TRASERA</t>
  </si>
  <si>
    <t>07022</t>
  </si>
  <si>
    <t>Partida</t>
  </si>
  <si>
    <t>m_</t>
  </si>
  <si>
    <t>Estructura acero separadora de zonas, pintada en varios colores</t>
  </si>
  <si>
    <t>Estructura decorativa separadora de zonas, en acero laminado UNE-EN 10025 S275JR, en perfiles laminados en caliente, piezas simples rectangulares 100x30x2 mm, acabado con imprimaci«n antioxidante. Trabajado y montado en taller, para colocar con uniones soldadas en obra. Incluso posterior aplicaci«n manual de dos manos de esmalte sintÚtico de secado rßpido, a base de resinas alquØdicas, diferentes colores, acabado brillante, (rendimiento: 0,077 l/m_ cada mano); previa aplicaci«n de una mano de imprimaci«n sintÚtica antioxidante de secado rßpido, a base de resinas alquØdicas, color gris, acabado mate. Incluso rigidizadores y detalles de apoyos a suelo y/o paredes conforme a proyecto. Se medirß la superficie realmente ejecutada seg·n especificaciones de Proyecto tomßndose la altura de medici«n la distancia desde la base hasta la altura del perfil de mayor altura.
NOTA: VALORAMOS M2</t>
  </si>
  <si>
    <t>Uds.</t>
  </si>
  <si>
    <t>Largo</t>
  </si>
  <si>
    <t>Ancho</t>
  </si>
  <si>
    <t>Alto</t>
  </si>
  <si>
    <t>Parcial</t>
  </si>
  <si>
    <t>Subtotal</t>
  </si>
  <si>
    <t>VALLA SEPARADORA</t>
  </si>
  <si>
    <t>07039</t>
  </si>
  <si>
    <t>Partida</t>
  </si>
  <si>
    <t>ud</t>
  </si>
  <si>
    <t>Barra antipßnico</t>
  </si>
  <si>
    <t>Suministro e instalaci«n de barra antipßnico en hoja con cierre inferior y superior y superior, medida de alto 2500 mm. Medida la unidad realmente ejecutada</t>
  </si>
  <si>
    <t>Uds.</t>
  </si>
  <si>
    <t>Largo</t>
  </si>
  <si>
    <t>Ancho</t>
  </si>
  <si>
    <t>Alto</t>
  </si>
  <si>
    <t>Parcial</t>
  </si>
  <si>
    <t>Subtotal</t>
  </si>
  <si>
    <t>BARRA ANTIP_NICO</t>
  </si>
  <si>
    <t>07018A</t>
  </si>
  <si>
    <t>Partida</t>
  </si>
  <si>
    <t>m_</t>
  </si>
  <si>
    <t>Soporte espejos con tablero MDF</t>
  </si>
  <si>
    <t>Soporte de espejos compuesto por tablero de fibras de madera y resinas sintÚticas de densidad media (MDF), hidr«fugo, sin recubrimiento, de 19 mm de espesor, clase resistente C18 seg·n UNE-EN 338 y UNE-EN 1912 y protecci«n frente a agentes bi«ticos que se corresponde con la clase de penetraci«n NP2 seg·n UNE-EN 351-1, trabajado en taller y el correcto transporte, atornillado a pared. Se medirß la superficie realmente ejecutada seg·n especificaciones de Proyecto. 
Formaci«n de espejos adheridos a una base de tablero DM hidr«fugo anclado directamente a pared.</t>
  </si>
  <si>
    <t>Uds.</t>
  </si>
  <si>
    <t>Largo</t>
  </si>
  <si>
    <t>Ancho</t>
  </si>
  <si>
    <t>Alto</t>
  </si>
  <si>
    <t>Parcial</t>
  </si>
  <si>
    <t>Subtotal</t>
  </si>
  <si>
    <t>PREVISIËN A ESPERAS DE DETERMINAR INTERIORISMO</t>
  </si>
  <si>
    <t>0</t>
  </si>
  <si>
    <t>ESPEJO ASEOS ADAPTADOS</t>
  </si>
  <si>
    <t>ESPEJO ASEOS</t>
  </si>
  <si>
    <t>PESO LIBRE</t>
  </si>
  <si>
    <t>ZONA BOOTY</t>
  </si>
  <si>
    <t>AGILITY</t>
  </si>
  <si>
    <t>SOPORTE ASEO ADAPTADO</t>
  </si>
  <si>
    <t>SOPORTE ASEOS</t>
  </si>
  <si>
    <t>SOPORTE BIES</t>
  </si>
  <si>
    <t>01234PP10</t>
  </si>
  <si>
    <t>Partida</t>
  </si>
  <si>
    <t>u</t>
  </si>
  <si>
    <t>Suministro y colocaci«n de porterØa aparcapatinetes de 10 plazas</t>
  </si>
  <si>
    <t>Suministro y colocaci«n de porterØa aparcapatinetes con espacio para 10 patinetes, modelo E-Roller en acero zincado o acero inoxidable AISI 304, a elegir seg·n indicaciones del cliente, de formas redondeadas que permite aparcar los scooters o patinetes manuales o elÚctricos y ademßs bloquearlos con la ayuda de un candado. Vßlido para patinetes de hasta 50 mm de dißmetro de vßstago. Incluso mano de obra, aparamenta y demßs elementos para su correcta colocaci«n y funcionamiento. Medida la unidades realmente ejecutada seg·n proyecto.</t>
  </si>
  <si>
    <t>Uds.</t>
  </si>
  <si>
    <t>Largo</t>
  </si>
  <si>
    <t>Ancho</t>
  </si>
  <si>
    <t>Alto</t>
  </si>
  <si>
    <t>Parcial</t>
  </si>
  <si>
    <t>Subtotal</t>
  </si>
  <si>
    <t>I_ARMARIOS</t>
  </si>
  <si>
    <t>Partida</t>
  </si>
  <si>
    <t>ud</t>
  </si>
  <si>
    <t>Puertas contrafuegos armarios tÚcnicos EI2 45-C5, 2 hoja 50cm</t>
  </si>
  <si>
    <t>Puertas contrafuegos armarios tÚcnicos EI2 45-C5, 2 hoja 50cm acabado lacado en color seg·n proyecto, con cierrapuertas para uso moderado. Se medirß el n·mero de unidades realmente ejecutadas seg·n especificaciones de Proyecto.</t>
  </si>
  <si>
    <t>Uds.</t>
  </si>
  <si>
    <t>Largo</t>
  </si>
  <si>
    <t>Ancho</t>
  </si>
  <si>
    <t>Alto</t>
  </si>
  <si>
    <t>Parcial</t>
  </si>
  <si>
    <t>Subtotal</t>
  </si>
  <si>
    <t>ARMARIO T_CNICO EN OFICINA</t>
  </si>
  <si>
    <t>I_GAL.110</t>
  </si>
  <si>
    <t>Partida</t>
  </si>
  <si>
    <t>u</t>
  </si>
  <si>
    <t>Puerta acero galvanizado, 1 hoja 110 cm c/cerradura EI2 60-C5</t>
  </si>
  <si>
    <t>Puerta interior abatible, ciega, de una hoja de 203x110x3,5 cm, de acero galvanizado EI 60-C5 de cierre y cerradura seg·n proyecto. Se medirß el n·mero de unidades realmente ejecutadas seg·n especificaciones de Proyecto.</t>
  </si>
  <si>
    <t>Uds.</t>
  </si>
  <si>
    <t>Largo</t>
  </si>
  <si>
    <t>Ancho</t>
  </si>
  <si>
    <t>Alto</t>
  </si>
  <si>
    <t>Parcial</t>
  </si>
  <si>
    <t>Subtotal</t>
  </si>
  <si>
    <t>PC1</t>
  </si>
  <si>
    <t>0</t>
  </si>
  <si>
    <t>SALA PCI</t>
  </si>
  <si>
    <t>I_MDF180</t>
  </si>
  <si>
    <t>Partida</t>
  </si>
  <si>
    <t>u</t>
  </si>
  <si>
    <t>Puerta acero galvanizado, 2 hojas abatible 92cm (paso 180cm)</t>
  </si>
  <si>
    <t>Puerta interior abatible, ciega, de dos hojas de 203x180x3,5 cm, de acero galvanizado de cierre y cerradura seg·n proyecto. Se medirß el n·mero de unidades realmente ejecutadas seg·n especificaciones de Proyecto.
Con 180 cm de paso.</t>
  </si>
  <si>
    <t>Uds.</t>
  </si>
  <si>
    <t>Largo</t>
  </si>
  <si>
    <t>Ancho</t>
  </si>
  <si>
    <t>Alto</t>
  </si>
  <si>
    <t>Parcial</t>
  </si>
  <si>
    <t>Subtotal</t>
  </si>
  <si>
    <t>P2E</t>
  </si>
  <si>
    <t>0</t>
  </si>
  <si>
    <t>PUERTA SALIDA EVACUACIËN</t>
  </si>
  <si>
    <t>07075-90AB</t>
  </si>
  <si>
    <t>Partida</t>
  </si>
  <si>
    <t>ud</t>
  </si>
  <si>
    <t>Puerta tablero MDF prelacada, 1 hoja abatible 92 cm c/cerradura</t>
  </si>
  <si>
    <t>Puerta interior abatible, ciega, de una hoja de 203x92,5x3,5 cm, de tablero de MDF, acabada en crudo para lacar en obra, con moldura de forma recta; precerco de pino paØs de 90x35 mm; galces de MDF de 90x20 mm; tapajuntas de MDF de 100x10 mm; con herrajes de colgar y de cierre y cerradura seg·n proyecto . Se medirß el n·mero de unidades realmente ejecutadas seg·n especificaciones de Proyecto.</t>
  </si>
  <si>
    <t>Uds.</t>
  </si>
  <si>
    <t>Largo</t>
  </si>
  <si>
    <t>Ancho</t>
  </si>
  <si>
    <t>Alto</t>
  </si>
  <si>
    <t>Parcial</t>
  </si>
  <si>
    <t>Subtotal</t>
  </si>
  <si>
    <t>LIMPIEZA</t>
  </si>
  <si>
    <t>I_ESPVC</t>
  </si>
  <si>
    <t>Partida</t>
  </si>
  <si>
    <t>u</t>
  </si>
  <si>
    <t>Estanterias PVC 40x90x180</t>
  </si>
  <si>
    <t>Estanterias PVC 40x90x180.</t>
  </si>
  <si>
    <t>Uds.</t>
  </si>
  <si>
    <t>Largo</t>
  </si>
  <si>
    <t>Ancho</t>
  </si>
  <si>
    <t>Alto</t>
  </si>
  <si>
    <t>Parcial</t>
  </si>
  <si>
    <t>Subtotal</t>
  </si>
  <si>
    <t>(Previsi«n)</t>
  </si>
  <si>
    <t>I_GAL_82</t>
  </si>
  <si>
    <t>Partida</t>
  </si>
  <si>
    <t>ud</t>
  </si>
  <si>
    <t>Puerta acero galvanizado, 1 hoja 82,5 cm c/cerradura</t>
  </si>
  <si>
    <t>Puerta interior abatible, ciega, de una hoja de 217x97x3,5cm, de acero galvanizado de cierre y cerradura seg·n proyecto. Se medirß el n·mero de unidades realmente ejecutadas seg·n especificaciones de Proyecto.
Con 82,5 cm de paso.</t>
  </si>
  <si>
    <t>Uds.</t>
  </si>
  <si>
    <t>Largo</t>
  </si>
  <si>
    <t>Ancho</t>
  </si>
  <si>
    <t>Alto</t>
  </si>
  <si>
    <t>Parcial</t>
  </si>
  <si>
    <t>Subtotal</t>
  </si>
  <si>
    <t>PUERTA ACS</t>
  </si>
  <si>
    <t>PUERTA SALA TECNIC</t>
  </si>
  <si>
    <t>07026A2</t>
  </si>
  <si>
    <t>Partida</t>
  </si>
  <si>
    <t>m</t>
  </si>
  <si>
    <t>Barandilla de acero h=90cm doble pasamanos</t>
  </si>
  <si>
    <t>Barandilla de 90 cm de altura, formada por: bastidor compuesto de barandal superior e inferior de tubo circular de perfil hueco de acero laminado en frØo de dißmetro 50 mm y montantes de redondo de perfil macizo de acero laminado en caliente de dißmetro 20 mm con una separaci«n de 100 cm entre sØ; entrepa±o para relleno de los huecos del bastidor compuesto de barrotes verticales de pletina de perfil macizo de acero laminado en caliente de 40x6 mm con una separaci«n de 10 cm y doble pasamanos de tubo cuadrado de perfil hueco de acero laminado en frØo de 20x20x1,5 mm a 90cm de altura y a 75cm de altura respectivamente, fijados mediante anclaje quØmico con varillas roscadas. Se medirß, en la direcci«n del pasamanos, a ejes, la longitud realmente ejecutada seg·n especificaciones de Proyecto.
NOTA: VALORAMOS BARANDILLA CON BARROTES Y PASAMANOS RECTANGULARES</t>
  </si>
  <si>
    <t>Uds.</t>
  </si>
  <si>
    <t>Largo</t>
  </si>
  <si>
    <t>Ancho</t>
  </si>
  <si>
    <t>Alto</t>
  </si>
  <si>
    <t>Parcial</t>
  </si>
  <si>
    <t>Subtotal</t>
  </si>
  <si>
    <t>PASAMANOS RAMPA</t>
  </si>
  <si>
    <t>SG07</t>
  </si>
  <si>
    <t>SG08</t>
  </si>
  <si>
    <t>Capítulo</t>
  </si>
  <si>
    <t>Instalaci«n de saneamiento</t>
  </si>
  <si>
    <t>08001A</t>
  </si>
  <si>
    <t>Partida</t>
  </si>
  <si>
    <t>pa</t>
  </si>
  <si>
    <t>Acometida de instalaci«n saneamiento a red municipal</t>
  </si>
  <si>
    <t>Acometida a la red general de saneamiento municipal, incluyendo todos elementos necesarios para cumplimiento de la normativa de la empresa suministradora en el apartado de evacuaci«n de aguas, incluso posible arqueta sifonica o valvula antirretorno, conexionados con la red exterior de evacuaci«n, obra civil como corte de pavimento por medio de sierra de disco, rotura del pavimento con martillo picador, excavaci«n manual de zanjas de saneamiento en terrenos, rotura, conexi«n y reparaci«n del colector existente, colocaci«n de tuberØa de PVC u hormig«n, tapado posterior de la acometida y reposici«n del pavimento, formaci«n del pozo en el punto de acometida, p.p. de medios auxiliares, y cualquier trabajo necesario para la conexi«n a la red general. A justificar.</t>
  </si>
  <si>
    <t>Uds.</t>
  </si>
  <si>
    <t>Largo</t>
  </si>
  <si>
    <t>Ancho</t>
  </si>
  <si>
    <t>Alto</t>
  </si>
  <si>
    <t>Parcial</t>
  </si>
  <si>
    <t>Subtotal</t>
  </si>
  <si>
    <t>Previsi«n</t>
  </si>
  <si>
    <t>SG.08.01.003</t>
  </si>
  <si>
    <t>Partida</t>
  </si>
  <si>
    <t>u</t>
  </si>
  <si>
    <t>Conexi«n de instalaci«n saneamiento interior</t>
  </si>
  <si>
    <t>Conexi«n de la nueva red de saneamiento a la red actual existente (comunitaria o en interior de local) por medio de colectores enterrados o colgados de PVC u hormig«n, en zonas comunes o privativas, incluso p.p. de trabajos de obra civil y medios auxiliares. Medido por cada punto de conexionado ejecutado</t>
  </si>
  <si>
    <t>Uds.</t>
  </si>
  <si>
    <t>Largo</t>
  </si>
  <si>
    <t>Ancho</t>
  </si>
  <si>
    <t>Alto</t>
  </si>
  <si>
    <t>Parcial</t>
  </si>
  <si>
    <t>Subtotal</t>
  </si>
  <si>
    <t>DEH026</t>
  </si>
  <si>
    <t>Partida</t>
  </si>
  <si>
    <t>u</t>
  </si>
  <si>
    <t>Calo en forjado existente D 110 mm</t>
  </si>
  <si>
    <t>Calo en forjado existente de 110 mm de dißmetro. Incluso, mano de obra y elementos auxiliares. Se medirß el n·mero de unidades realmente ejecutadas seg·n especificaciones de Proyecto.</t>
  </si>
  <si>
    <t>Uds.</t>
  </si>
  <si>
    <t>Largo</t>
  </si>
  <si>
    <t>Ancho</t>
  </si>
  <si>
    <t>Alto</t>
  </si>
  <si>
    <t>Parcial</t>
  </si>
  <si>
    <t>Subtotal</t>
  </si>
  <si>
    <t>PCI</t>
  </si>
  <si>
    <t>ACS</t>
  </si>
  <si>
    <t>Vest. Fem</t>
  </si>
  <si>
    <t>08036</t>
  </si>
  <si>
    <t>Partida</t>
  </si>
  <si>
    <t>m</t>
  </si>
  <si>
    <t>Canaleta prefabricada de hormig«n polØmero con tapa</t>
  </si>
  <si>
    <t>Canaleta prefabricada de hormig«n polØmero, de 127 mm de ancho exterior, 100 mm de ancho interior y 95 mm de altura y una pendiente interior del 2 % hasta la conexi«n con el sumidero, con rejilla nervada de acero galvanizado, clase A-15 seg·n UNE-EN 124, con sistema de fijaci«n rßpida por presi«n, colocada sobre forjado de hormig«n o formaci«n de pendientes. Incluso accesorios de montaje, piezas especiales y elementos de sujeci«n. Se medirß, en proyecci«n horizontal, la longitud realmente ejecutada seg·n especificaciones de Proyecto.</t>
  </si>
  <si>
    <t>Uds.</t>
  </si>
  <si>
    <t>Largo</t>
  </si>
  <si>
    <t>Ancho</t>
  </si>
  <si>
    <t>Alto</t>
  </si>
  <si>
    <t>Parcial</t>
  </si>
  <si>
    <t>Subtotal</t>
  </si>
  <si>
    <t>Duchas</t>
  </si>
  <si>
    <t>08039C</t>
  </si>
  <si>
    <t>Partida</t>
  </si>
  <si>
    <t>u</t>
  </si>
  <si>
    <t>Colector suspendido de PVC, serie B de 40 mm</t>
  </si>
  <si>
    <t>Colector suspendido de PVC, serie B de 40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</si>
  <si>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</si>
  <si>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</si>
  <si>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</si>
  <si>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</si>
  <si>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</si>
  <si>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</si>
  <si>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Maq Clima</t>
  </si>
  <si>
    <t>08040</t>
  </si>
  <si>
    <t>Partida</t>
  </si>
  <si>
    <t>m</t>
  </si>
  <si>
    <t>Colector suspendido de PVC, serie B de 50 mm</t>
  </si>
  <si>
    <t>Colector suspendido de PVC, serie B de 50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</si>
  <si>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</si>
  <si>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</si>
  <si>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</si>
  <si>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</si>
  <si>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</si>
  <si>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</si>
  <si>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Maq Clima</t>
  </si>
  <si>
    <t>08041</t>
  </si>
  <si>
    <t>Partida</t>
  </si>
  <si>
    <t>m</t>
  </si>
  <si>
    <t>Colector suspendido de PVC, serie B de 63 mm</t>
  </si>
  <si>
    <t>Colector suspendido de PVC, serie B de 63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</si>
  <si>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</si>
  <si>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</si>
  <si>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</si>
  <si>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</si>
  <si>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</si>
  <si>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</si>
  <si>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Maq Clima</t>
  </si>
  <si>
    <t>08030</t>
  </si>
  <si>
    <t>Partida</t>
  </si>
  <si>
    <t>m</t>
  </si>
  <si>
    <t>Red de peque±a evacuaci«n empotrada, PVC serie B, 32 mm</t>
  </si>
  <si>
    <t>Red de peque±a evacuaci«n de PVC, empotrada, serie B de 32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</si>
  <si>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</si>
  <si>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</si>
  <si>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</si>
  <si>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</si>
  <si>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</si>
  <si>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</si>
  <si>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Previsi«n</t>
  </si>
  <si>
    <t>08CS110</t>
  </si>
  <si>
    <t>Partida</t>
  </si>
  <si>
    <t>m</t>
  </si>
  <si>
    <t>Colector suspendido de PVC, serie B de 110 mm</t>
  </si>
  <si>
    <t>Colector suspendido de PVC, serie B de 110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</si>
  <si>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</si>
  <si>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</si>
  <si>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</si>
  <si>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</si>
  <si>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</si>
  <si>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</si>
  <si>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08040B</t>
  </si>
  <si>
    <t>Partida</t>
  </si>
  <si>
    <t>m</t>
  </si>
  <si>
    <t>Colector superficial de PVC, serie B de 50 mm</t>
  </si>
  <si>
    <t>Colector suspendido de PVC, serie B de 50 mm de dißmetro, uni«n pegada con adhesivo. Se medirß, en proyecci«n horizontal, la longitud realmente ejecutada seg·n especificaciones de Proyecto.</t>
  </si>
  <si>
    <t>Uds.</t>
  </si>
  <si>
    <t>Largo</t>
  </si>
  <si>
    <t>Ancho</t>
  </si>
  <si>
    <t>Alto</t>
  </si>
  <si>
    <t>Parcial</t>
  </si>
  <si>
    <t>Subtotal</t>
  </si>
  <si>
    <t>ACS</t>
  </si>
  <si>
    <t>Adapt</t>
  </si>
  <si>
    <t>Aseos</t>
  </si>
  <si>
    <t>08031</t>
  </si>
  <si>
    <t>Partida</t>
  </si>
  <si>
    <t>m</t>
  </si>
  <si>
    <t>Red de peque±a evacuaci«n empotrada, PVC serie B, 40 mm</t>
  </si>
  <si>
    <t>Red de peque±a evacuaci«n de PVC, empotrada, serie B de 40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</si>
  <si>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</si>
  <si>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</si>
  <si>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</si>
  <si>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</si>
  <si>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</si>
  <si>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</si>
  <si>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Previsi«n</t>
  </si>
  <si>
    <t>08022A</t>
  </si>
  <si>
    <t>Partida</t>
  </si>
  <si>
    <t>m</t>
  </si>
  <si>
    <t>Colector enterrado PVC 50mm</t>
  </si>
  <si>
    <t>Colector enterrado de red horizontal de saneamiento, con arquetas, con una pendiente mØnima del 2%, para la evacuaci«n de aguas residuales y/o pluviales, formado por tubo de PVC liso, serie SN-4, rigidez anular nominal 4 kN/m_, de 50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</si>
  <si>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</si>
  <si>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</si>
  <si>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</si>
  <si>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</si>
  <si>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</si>
  <si>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</si>
  <si>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08020A</t>
  </si>
  <si>
    <t>Partida</t>
  </si>
  <si>
    <t>m</t>
  </si>
  <si>
    <t>Colector enterrado PVC 75mm</t>
  </si>
  <si>
    <t>Colector enterrado de red horizontal de saneamiento, con arquetas, con una pendiente mØnima del 2%, para la evacuaci«n de aguas residuales y/o pluviales, formado por tubo de PVC liso, serie SN-4, rigidez anular nominal 4 kN/m_, de 75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</si>
  <si>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</si>
  <si>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</si>
  <si>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</si>
  <si>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</si>
  <si>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</si>
  <si>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</si>
  <si>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08016A</t>
  </si>
  <si>
    <t>Partida</t>
  </si>
  <si>
    <t>m</t>
  </si>
  <si>
    <t>Colector enterrado PVC 110 mm</t>
  </si>
  <si>
    <t>Colector enterrado de red horizontal de saneamiento, con arquetas, con una pendiente mØnima del 2%, para la evacuaci«n de aguas residuales y/o pluviales, formado por tubo de PVC liso, serie SN-4, rigidez anular nominal 4 kN/m_, de 110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</si>
  <si>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</si>
  <si>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</si>
  <si>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</si>
  <si>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</si>
  <si>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</si>
  <si>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</si>
  <si>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08038</t>
  </si>
  <si>
    <t>Partida</t>
  </si>
  <si>
    <t>u</t>
  </si>
  <si>
    <t>Sumidero sif«nico PVC salida vertical 75 mm</t>
  </si>
  <si>
    <t>Sumidero sif«nico de PVC con rejilla de PVC de 250x250 mm y con salida integrada de 75-110 mm; para recogida de aguas pluviales o de locales h·medos, instalado y conexionado a la red general de desag³e, incluso con p.p. de peque±o material de agarre y medios auxiliares, y sin incluir arqueta de apoyo, s/ CTE-HS-5. Se medirß el n·mero de unidades realmente ejecutadas seg·n especificaciones de Proyecto.</t>
  </si>
  <si>
    <t>Uds.</t>
  </si>
  <si>
    <t>Largo</t>
  </si>
  <si>
    <t>Ancho</t>
  </si>
  <si>
    <t>Alto</t>
  </si>
  <si>
    <t>Parcial</t>
  </si>
  <si>
    <t>Subtotal</t>
  </si>
  <si>
    <t>ACS</t>
  </si>
  <si>
    <t>PCI</t>
  </si>
  <si>
    <t>SG08</t>
  </si>
  <si>
    <t>SG10</t>
  </si>
  <si>
    <t>Capítulo</t>
  </si>
  <si>
    <t>Instalaci«n de electricidad y telecomunicaciones</t>
  </si>
  <si>
    <t>C10.1</t>
  </si>
  <si>
    <t>Capítulo</t>
  </si>
  <si>
    <t>Electricidad</t>
  </si>
  <si>
    <t>10100A</t>
  </si>
  <si>
    <t>Partida</t>
  </si>
  <si>
    <t>u</t>
  </si>
  <si>
    <t>Certificaci«n y boletines de instalaci«n electricidad</t>
  </si>
  <si>
    <t>Certificaci«n de la instalaci«n de electricidad y telecomunicaciones, preparaci«n, y tramitaci«n, hasta buen fin y ante los orgamismos competentes de boletines, contrataci«n y coordinaci«n con OCA para obtenci«n de informe favorable, planos actualizados con las modificaciones que surgieran durante la obra y cualquier otra documentaci«n que fuera necesaria. Incluso presentaci«n al cliente de planos en soporte DWG.</t>
  </si>
  <si>
    <t>Uds.</t>
  </si>
  <si>
    <t>Largo</t>
  </si>
  <si>
    <t>Ancho</t>
  </si>
  <si>
    <t>Alto</t>
  </si>
  <si>
    <t>Parcial</t>
  </si>
  <si>
    <t>Subtotal</t>
  </si>
  <si>
    <t>1013642</t>
  </si>
  <si>
    <t>Partida</t>
  </si>
  <si>
    <t>u</t>
  </si>
  <si>
    <t>Instalaci«n provisional de obras</t>
  </si>
  <si>
    <t>Instalaci«n provisional de electricidad, compuesta por luminarias estancas 2x36w de circuito RZ1-K (AS) (2x2,5)+TTx2,5mm2 Cu, cadenas para colocacØon de luminarias, y cuadros elÚctricos de soporte y lØnea trifßsica RZ1-K (AS) (4x10)+TTx10mm2 Cu, medida la unidad totalmente ejecutada hasta uno total de 4 cuadros elÚctricos de soporte..</t>
  </si>
  <si>
    <t>Uds.</t>
  </si>
  <si>
    <t>Largo</t>
  </si>
  <si>
    <t>Ancho</t>
  </si>
  <si>
    <t>Alto</t>
  </si>
  <si>
    <t>Parcial</t>
  </si>
  <si>
    <t>Subtotal</t>
  </si>
  <si>
    <t>101364</t>
  </si>
  <si>
    <t>Partida</t>
  </si>
  <si>
    <t>u</t>
  </si>
  <si>
    <t>Puesta en marcha de instalaci«n de electricidad</t>
  </si>
  <si>
    <t>Puesta en marcha de toda la instalaci«n de electricidad, con chequeo del correcto funcionamiento de todos los elementos, con las pruebas reglamentarias de estanqueidad y demßs pruebas necesarias que indique el control de calidad para dar como favorable la instalaci«n. Medida la unidad funcionando.</t>
  </si>
  <si>
    <t>Uds.</t>
  </si>
  <si>
    <t>Largo</t>
  </si>
  <si>
    <t>Ancho</t>
  </si>
  <si>
    <t>Alto</t>
  </si>
  <si>
    <t>Parcial</t>
  </si>
  <si>
    <t>Subtotal</t>
  </si>
  <si>
    <t>10102</t>
  </si>
  <si>
    <t>Partida</t>
  </si>
  <si>
    <t>u</t>
  </si>
  <si>
    <t>Cuadro general de baja tensi«n, armario 1650x1000x250 mm</t>
  </si>
  <si>
    <t>Cuadro general de baja tensi«n en armario de distribuci«n metßlico, de superficie, con puerta ciega, grado de protecci«n IP40, aislamiento clase II, de 1650x1000x250 mm. Con llave y toda la aparamenta necesaria conforme a esquema unifilar de proyecto, incluso rotulado y envolvente, incluso conexionado con lØnea elÚctrica interior. Se medirß la unidad instalada, probada y funcionando.</t>
  </si>
  <si>
    <t>Uds.</t>
  </si>
  <si>
    <t>Largo</t>
  </si>
  <si>
    <t>Ancho</t>
  </si>
  <si>
    <t>Alto</t>
  </si>
  <si>
    <t>Parcial</t>
  </si>
  <si>
    <t>Subtotal</t>
  </si>
  <si>
    <t>10115</t>
  </si>
  <si>
    <t>Partida</t>
  </si>
  <si>
    <t>m</t>
  </si>
  <si>
    <t>Cable multipolar RZ1-K 0,6/1 kV, 2x1,5 mm2, Cu</t>
  </si>
  <si>
    <t>Cable multipolar RZ1-K (libre de hal«geno), siendo su tensi«n asignada de 0,6/1 kV, reacci«n al fuego clase Eca, con conductor de cobre clase 5 (-K) de 2x1,5+TTx1,5mm2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</si>
  <si>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</si>
  <si>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</si>
  <si>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</si>
  <si>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</si>
  <si>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</si>
  <si>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</si>
  <si>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10116</t>
  </si>
  <si>
    <t>Partida</t>
  </si>
  <si>
    <t>m</t>
  </si>
  <si>
    <t>Cable multipolar RZ1-K 0,6/1 kV, 2x2,5 mm2, Cu</t>
  </si>
  <si>
    <t>Cable multipolar RZ1-K (libre de hal«geno), siendo su tensi«n asignada de 0,6/1 kV, reacci«n al fuego clase Eca, con conductor de cobre clase 5 (-K) de 2x2,5+TTx2,5mm2 mm_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</si>
  <si>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</si>
  <si>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</si>
  <si>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</si>
  <si>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</si>
  <si>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</si>
  <si>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</si>
  <si>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10117</t>
  </si>
  <si>
    <t>Partida</t>
  </si>
  <si>
    <t>m</t>
  </si>
  <si>
    <t>Cable multipolar RZ1-K 0,6/1 kV, 2x4 mm2, Cu</t>
  </si>
  <si>
    <t>Cable multipolar RZ1-K (libre de hal«geno), siendo su tensi«n asignada de 0,6/1 kV, reacci«n al fuego clase Eca, con conductor de cobre clase 5 (-K) de 2x4+TTx4mm2 mm_ de secci«n,con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</si>
  <si>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</si>
  <si>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</si>
  <si>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</si>
  <si>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</si>
  <si>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</si>
  <si>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</si>
  <si>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GP AFS</t>
  </si>
  <si>
    <t>10118C</t>
  </si>
  <si>
    <t>Partida</t>
  </si>
  <si>
    <t>m</t>
  </si>
  <si>
    <t>Cable multipolar RZ1-K 0,6/1 kV, 4x2,5 mm2, Cu AFUMES (AS+)</t>
  </si>
  <si>
    <t>Cable multipolar RZ1-K (libre de hal«geno), siendo su tensi«n asignada de 0,6/1 kV, reacci«n al fuego clase Eca, con conductor de cobre clase 5 (-K) de 4x2.5+TTx2.5mm_ de secci«n tipo AFUMEX (AS+), con aislamiento de polietileno reticulado (R) y cubierta de PVC (V), incluso elementos auxiliares, cajas de empalme y peque±o material. Se medirß la longitud realmente ejecutada seg·n especificaciones de Proyecto.</t>
  </si>
  <si>
    <t>Uds.</t>
  </si>
  <si>
    <t>Largo</t>
  </si>
  <si>
    <t>Ancho</t>
  </si>
  <si>
    <t>Alto</t>
  </si>
  <si>
    <t>Parcial</t>
  </si>
  <si>
    <t>Subtotal</t>
  </si>
  <si>
    <t>GP PCI</t>
  </si>
  <si>
    <t>10120</t>
  </si>
  <si>
    <t>Partida</t>
  </si>
  <si>
    <t>m</t>
  </si>
  <si>
    <t>Cable multipolar RZ1-K 0,6/1 kV, 4x16 mm2, Cu</t>
  </si>
  <si>
    <t>Cable multipolar RZ1-K (libre de hal«geno), siendo su tensi«n asignada de 0,6/1 kV, reacci«n al fuego clase Eca, con conductor de cobre clase 5 (-K) de 4x16+TTx16 mm_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</si>
  <si>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</si>
  <si>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</si>
  <si>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</si>
  <si>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</si>
  <si>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</si>
  <si>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</si>
  <si>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UE</t>
  </si>
  <si>
    <t>10316.3</t>
  </si>
  <si>
    <t>Partida</t>
  </si>
  <si>
    <t>u</t>
  </si>
  <si>
    <t>Latiguillo interconexi«n Fuerza</t>
  </si>
  <si>
    <t>Latiguillo de conexi«n (Fuerza) formado por cable rØgido U/UTP no propagador de la llama de 4 pares de cobre, categorØa 6, con conductor unifilar de cobre, aislamiento de polietileno y vaina exterior de PVC LSFH libre de hal«genos, con baja emisi«n de humos y gases corrosivos y conector macho tipo RJ-45 de 8 contactos, categorØa 6, en ambos extremos, seg·n EN 50288-6-1.Incluso clavijas hembra. Se medirß el n·mero de unidades realmente ejecutadas seg·n especificaciones de Proyecto.</t>
  </si>
  <si>
    <t>Uds.</t>
  </si>
  <si>
    <t>Largo</t>
  </si>
  <si>
    <t>Ancho</t>
  </si>
  <si>
    <t>Alto</t>
  </si>
  <si>
    <t>Parcial</t>
  </si>
  <si>
    <t>Subtotal</t>
  </si>
  <si>
    <t>Cardio</t>
  </si>
  <si>
    <t>10104</t>
  </si>
  <si>
    <t>Partida</t>
  </si>
  <si>
    <t>m</t>
  </si>
  <si>
    <t>Conductor de tierra cobre desnudo 25 mm_</t>
  </si>
  <si>
    <t>Conductor de tierra formado por cable rØgido desnudo de cobre trenzado, de 25 mm_ de secci«n, incluso conexionado a cuadro elÚctrico. Se medirß la longitud realmente ejecutada seg·n especificaciones de Proyecto.</t>
  </si>
  <si>
    <t>Uds.</t>
  </si>
  <si>
    <t>Largo</t>
  </si>
  <si>
    <t>Ancho</t>
  </si>
  <si>
    <t>Alto</t>
  </si>
  <si>
    <t>Parcial</t>
  </si>
  <si>
    <t>Subtotal</t>
  </si>
  <si>
    <t>Previsi«n</t>
  </si>
  <si>
    <t>1046A10A</t>
  </si>
  <si>
    <t>Partida</t>
  </si>
  <si>
    <t>u</t>
  </si>
  <si>
    <t>Toma de corriente 16 A</t>
  </si>
  <si>
    <t>Toma de corriente de 16 A con puesta a tierra, instalada con cable de cobre de 2,5 mm_ de secci«n nominal (fase, neutro y tierra) y aislamiento vv 750 v, incluido este cableado entubado hasta una longitud desde el mecanismo de 6 m, empotrado y aislado bajo tubo de pvc flexible de 16 mm de dißmetro, incluso mecanismo de primera calidad con placa metßlica de fijaci«n, tipo base elÚctrica simon k45 o equivalente, con marco y mecanismos en color seg·n proyecto y p.p. de cajas de empotramiento, derivaci«n; construido s/REBT. Medida la unidad instalada.</t>
  </si>
  <si>
    <t>Uds.</t>
  </si>
  <si>
    <t>Largo</t>
  </si>
  <si>
    <t>Ancho</t>
  </si>
  <si>
    <t>Alto</t>
  </si>
  <si>
    <t>Parcial</t>
  </si>
  <si>
    <t>Subtotal</t>
  </si>
  <si>
    <t>Cardio</t>
  </si>
  <si>
    <t>Oficina</t>
  </si>
  <si>
    <t>Speed</t>
  </si>
  <si>
    <t>Agility</t>
  </si>
  <si>
    <t>Vest Fem</t>
  </si>
  <si>
    <t>Vest Masc</t>
  </si>
  <si>
    <t>Limpieza</t>
  </si>
  <si>
    <t>TV</t>
  </si>
  <si>
    <t>Usos varios</t>
  </si>
  <si>
    <t>Fuente</t>
  </si>
  <si>
    <t>PCI</t>
  </si>
  <si>
    <t>ACS</t>
  </si>
  <si>
    <t>Sala TÚnica</t>
  </si>
  <si>
    <t>Cross</t>
  </si>
  <si>
    <t>1046A10B</t>
  </si>
  <si>
    <t>Partida</t>
  </si>
  <si>
    <t>u</t>
  </si>
  <si>
    <t>Toma de corriente empotrada 16 A</t>
  </si>
  <si>
    <t>Toma de corriente estanca de 16 A con puesta a tierra, instalada con cable de cobre de 2,5 mm_ de secci«n nominal (fase, neutro y tierra) y aislamiento vv 750 v, incluido este cableado entubado hasta una longitud desde el mecanismo de 6 m, empotrado y aislado bajo tubo de pvc flexible de 16 mm de dißmetro, incluso mecanismo de primera calidad con placa metßlica de fijaci«n, tipo base elÚctrica simon k45 o equivalente, con marco y mecanismos en color seg·n proyecto, y p.p. de cajas de empotramiento, derivaci«n; construido s/REBT. Medida la unidad instalada.</t>
  </si>
  <si>
    <t>Uds.</t>
  </si>
  <si>
    <t>Largo</t>
  </si>
  <si>
    <t>Ancho</t>
  </si>
  <si>
    <t>Alto</t>
  </si>
  <si>
    <t>Parcial</t>
  </si>
  <si>
    <t>Subtotal</t>
  </si>
  <si>
    <t>Secamanos</t>
  </si>
  <si>
    <t>1046A211A</t>
  </si>
  <si>
    <t>Partida</t>
  </si>
  <si>
    <t>u</t>
  </si>
  <si>
    <t>KIT Caja de 2 m«dulos para suelo (1xTC16A+1xRJ45)</t>
  </si>
  <si>
    <t>Kit caja estanca de 2 m«dulos cableado interior totalmente instalada para montaje empotrado en suelo, compuesto por caja de conexiones para empotrar rectangular, portamecanismos para 2 m«dulos 47x47 para montaje de marco formado por puerta desmontable, marco y contramarco. 2 mecanismos con montaje directo sobre las cubetas (TC16A + RJ-45 doble).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</si>
  <si>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</si>
  <si>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</si>
  <si>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</si>
  <si>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</si>
  <si>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</si>
  <si>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</si>
  <si>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F2</t>
  </si>
  <si>
    <t>1046A211B</t>
  </si>
  <si>
    <t>Partida</t>
  </si>
  <si>
    <t>u</t>
  </si>
  <si>
    <t>KIT Caja de 2 m«dulos en paramento (1xTC16A+1xRJ45)</t>
  </si>
  <si>
    <t>Kit caja de 2 m«dulos cableado interior totalmente instalada para montaje en paramento, compuesto por caja de conexiones para empotrar rectangular, portamecanismos para 2 m«dulos 47x47 para montaje de marco formado por puerta desmontable, marco y contramarco. 2 mecanismos con montaje directo sobre las cubetas (TC16A + RJ-45).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</si>
  <si>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</si>
  <si>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</si>
  <si>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</si>
  <si>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</si>
  <si>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</si>
  <si>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</si>
  <si>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Totem</t>
  </si>
  <si>
    <t>Vending</t>
  </si>
  <si>
    <t>1046A844A</t>
  </si>
  <si>
    <t>Partida</t>
  </si>
  <si>
    <t>u</t>
  </si>
  <si>
    <t>KIT Caja de 8 m«dulos en paramento (4xTC16A+4xRJ45)</t>
  </si>
  <si>
    <t>Kit caja estanca de tres m«dulos cableado interior totalmente instalada para colocar en paramento en superficie, compuesto por caja de conexiones para empotrar rectangular, portamecanismos para 8 m«dulos 47x47 para montaje de marco formado por puerta desmontable, marco y contramarco. 3 mecanismos con montaje directo sobre las cubetas (4xTC16A + 4xRJ-45).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</si>
  <si>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</si>
  <si>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</si>
  <si>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</si>
  <si>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</si>
  <si>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</si>
  <si>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</si>
  <si>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Agility</t>
  </si>
  <si>
    <t>Seep</t>
  </si>
  <si>
    <t>1046A862A</t>
  </si>
  <si>
    <t>Partida</t>
  </si>
  <si>
    <t>u</t>
  </si>
  <si>
    <t>KIT Caja de 8 m«dulos en paramento (6xTC16A+2xRJ45)</t>
  </si>
  <si>
    <t>Kit caja estanca de tres m«dulos cableado interior totalmente instalada para colocar en paramento en superficie, compuesto por caja de conexiones para empotrar rectangular, portamecanismos para 8 m«dulos 47x47 para montaje de marco formado por puerta desmontable, marco y contramarco. 3 mecanismos con montaje directo sobre las cubetas (6xTC16A + 2xRJ-45).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</si>
  <si>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</si>
  <si>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</si>
  <si>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</si>
  <si>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</si>
  <si>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</si>
  <si>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</si>
  <si>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Oficina</t>
  </si>
  <si>
    <t>Recepci«n</t>
  </si>
  <si>
    <t>101141A</t>
  </si>
  <si>
    <t>Partida</t>
  </si>
  <si>
    <t>m</t>
  </si>
  <si>
    <t>Bandeja portacables "INDUCANAL CLICK" 60x100mm GC</t>
  </si>
  <si>
    <t>Bandeja de chapa de base embutida y ciega para cargas ligeras, modelo "INDUCANAL CLICK GC" o equivalente, de dimensiones 60x100 mm, para suspender de techos con varillas y piezas especiales necesarias, incluso tabique separador. Se medirß la longitud realmente ejecutada seg·n especificaciones de Proyecto.</t>
  </si>
  <si>
    <t>Uds.</t>
  </si>
  <si>
    <t>Largo</t>
  </si>
  <si>
    <t>Ancho</t>
  </si>
  <si>
    <t>Alto</t>
  </si>
  <si>
    <t>Parcial</t>
  </si>
  <si>
    <t>Subtotal</t>
  </si>
  <si>
    <t>10114A</t>
  </si>
  <si>
    <t>Partida</t>
  </si>
  <si>
    <t>m</t>
  </si>
  <si>
    <t>Bandeja portacables "INDUCANAL CLICK" 60x200mm GC</t>
  </si>
  <si>
    <t>Bandeja de chapa de base embutida y ciega para cargas ligeras, modelo "INDUCANAL CLICK GC" o equivalente, de dimensiones 60x200 mm, para suspender de techos con varillas y piezas especiales necesarias, incluso tabique separador. Se medirß la longitud realmente ejecutada seg·n especificaciones de Proyecto.</t>
  </si>
  <si>
    <t>Uds.</t>
  </si>
  <si>
    <t>Largo</t>
  </si>
  <si>
    <t>Ancho</t>
  </si>
  <si>
    <t>Alto</t>
  </si>
  <si>
    <t>Parcial</t>
  </si>
  <si>
    <t>Subtotal</t>
  </si>
  <si>
    <t>101142A</t>
  </si>
  <si>
    <t>Partida</t>
  </si>
  <si>
    <t>m</t>
  </si>
  <si>
    <t>Bandeja portacables "INDUCANAL CLICK" 60x300mm GC</t>
  </si>
  <si>
    <t>Bandeja de chapa de base embutida y ciega para cargas ligeras, modelo "INDUCANAL CLICK GC" o equivalente, de dimensiones 60x300 mm, para suspender de techos con varillas y piezas especiales necesarias, incluso tabique separador. Se medirß la longitud realmente ejecutada seg·n especificaciones de Proyecto.</t>
  </si>
  <si>
    <t>Uds.</t>
  </si>
  <si>
    <t>Largo</t>
  </si>
  <si>
    <t>Ancho</t>
  </si>
  <si>
    <t>Alto</t>
  </si>
  <si>
    <t>Parcial</t>
  </si>
  <si>
    <t>Subtotal</t>
  </si>
  <si>
    <t>10316.2</t>
  </si>
  <si>
    <t>Partida</t>
  </si>
  <si>
    <t>u</t>
  </si>
  <si>
    <t>Latiguillo interconexi«n Fuerza / Datos</t>
  </si>
  <si>
    <t>Latiguillo de conexi«n (Fuerza / Datos) formado por cable rØgido U/UTP no propagador de la llama de 4 pares de cobre, categorØa 6, con conductor unifilar de cobre, aislamiento de polietileno y vaina exterior de PVC LSFH libre de hal«genos, con baja emisi«n de humos y gases corrosivos y conector macho tipo RJ-45 de 8 contactos, categorØa 6, en ambos extremos, seg·n EN 50288-6-1. Se medirß el n·mero de unidades realmente ejecutadas seg·n especificaciones de Proyecto.</t>
  </si>
  <si>
    <t>Uds.</t>
  </si>
  <si>
    <t>Largo</t>
  </si>
  <si>
    <t>Ancho</t>
  </si>
  <si>
    <t>Alto</t>
  </si>
  <si>
    <t>Parcial</t>
  </si>
  <si>
    <t>Subtotal</t>
  </si>
  <si>
    <t>Tornos</t>
  </si>
  <si>
    <t>10108</t>
  </si>
  <si>
    <t>Partida</t>
  </si>
  <si>
    <t>m</t>
  </si>
  <si>
    <t>Tubo PVC rØgido 25 mm, superficie</t>
  </si>
  <si>
    <t>Suministro e instalaci«n en superficie de canalizaci«n de protecci«n de cableado, formada por tubo de PVC rØgido, blindado, enchufable, de color negro, de 25 mm de dißmetro nominal, con IP547. Incluso abrazaderas, elementos de sujeci«n y accesorios (curvas, manguitos, tes, codos y curvas flexibles). Se medirß la longitud realmente ejecutada seg·n especificaciones de Proyecto.</t>
  </si>
  <si>
    <t>Uds.</t>
  </si>
  <si>
    <t>Largo</t>
  </si>
  <si>
    <t>Ancho</t>
  </si>
  <si>
    <t>Alto</t>
  </si>
  <si>
    <t>Parcial</t>
  </si>
  <si>
    <t>Subtotal</t>
  </si>
  <si>
    <t>Previsi«n</t>
  </si>
  <si>
    <t>10109</t>
  </si>
  <si>
    <t>Partida</t>
  </si>
  <si>
    <t>m</t>
  </si>
  <si>
    <t>Tubo PVC rØgido 40 mm, superficie</t>
  </si>
  <si>
    <t>Suministro e instalaci«n en superficie de canalizaci«n de protecci«n de cableado, formada por tubo de PVC rØgido, blindado, enchufable, de color negro, de 40 mm de dißmetro nominal, con IP547. Incluso abrazaderas, elementos de sujeci«n y accesorios (curvas, manguitos, tes, codos y curvas flexibles). Se medirß la longitud realmente ejecutada seg·n especificaciones de Proyecto.</t>
  </si>
  <si>
    <t>Uds.</t>
  </si>
  <si>
    <t>Largo</t>
  </si>
  <si>
    <t>Ancho</t>
  </si>
  <si>
    <t>Alto</t>
  </si>
  <si>
    <t>Parcial</t>
  </si>
  <si>
    <t>Subtotal</t>
  </si>
  <si>
    <t>Previsi«n</t>
  </si>
  <si>
    <t>C10.1</t>
  </si>
  <si>
    <t>C10.2</t>
  </si>
  <si>
    <t>Capítulo</t>
  </si>
  <si>
    <t>Iluminaci«n</t>
  </si>
  <si>
    <t>10202</t>
  </si>
  <si>
    <t>Partida</t>
  </si>
  <si>
    <t>u</t>
  </si>
  <si>
    <t>Centralizaci«n de encendidos</t>
  </si>
  <si>
    <t>Centralizaci«n de interruptores (hasta 24 encendidos)  instalado con cable de cobre 1,5mm2 de secci«n nominal, empotrado y aislado con tubo de pvc flexible de 13mm de dißmetro, incluso mecanismos de primera calidad, empotrados y p.p. de cajas de dreivaci«n y ayudas de alba±ilerØa, seg·n rebt, medida la unidad totalmente ejecutada.</t>
  </si>
  <si>
    <t>Uds.</t>
  </si>
  <si>
    <t>Largo</t>
  </si>
  <si>
    <t>Ancho</t>
  </si>
  <si>
    <t>Alto</t>
  </si>
  <si>
    <t>Parcial</t>
  </si>
  <si>
    <t>Subtotal</t>
  </si>
  <si>
    <t>10201</t>
  </si>
  <si>
    <t>Partida</t>
  </si>
  <si>
    <t>u</t>
  </si>
  <si>
    <t>Plaf«n led redondo blanco I-TEC, Ref. 5550407</t>
  </si>
  <si>
    <t>Suministro e instalaci«n de plaf«n led redondo blanco I-TEC, Ref. 5550407, 20 W de superficie, cuerpo fabricado en aluminio y difusor en polmetilmetacrilato (PMMA), incluso driver externo, piezas especiales de cuelgue bajo bandeja y lßmpara de 20W de 4200 _K. Se medirß el n·mero de unidades realmente ejecutadas seg·n especificaciones de Proyecto.</t>
  </si>
  <si>
    <t>Uds.</t>
  </si>
  <si>
    <t>Largo</t>
  </si>
  <si>
    <t>Ancho</t>
  </si>
  <si>
    <t>Alto</t>
  </si>
  <si>
    <t>Parcial</t>
  </si>
  <si>
    <t>Subtotal</t>
  </si>
  <si>
    <t>Agility</t>
  </si>
  <si>
    <t>Circulaci«n</t>
  </si>
  <si>
    <t>Speed</t>
  </si>
  <si>
    <t>102011</t>
  </si>
  <si>
    <t>Partida</t>
  </si>
  <si>
    <t>u</t>
  </si>
  <si>
    <t>Luminaria LED suspendida 40W SECOM 2200014084 + kit suspensi«n 5</t>
  </si>
  <si>
    <t>Luminaria LED suspendida 40W SECOM 2200014084 + kit suspensi«n 5</t>
  </si>
  <si>
    <t>Uds.</t>
  </si>
  <si>
    <t>Largo</t>
  </si>
  <si>
    <t>Ancho</t>
  </si>
  <si>
    <t>Alto</t>
  </si>
  <si>
    <t>Parcial</t>
  </si>
  <si>
    <t>Subtotal</t>
  </si>
  <si>
    <t>Oficina</t>
  </si>
  <si>
    <t>10203</t>
  </si>
  <si>
    <t>Partida</t>
  </si>
  <si>
    <t>u</t>
  </si>
  <si>
    <t>Regleta industrial Airfal Delta D0051L, led</t>
  </si>
  <si>
    <t>Suministro y montaje de regleta industrial Airfal Delta D0051L, para 1 tubo led, en chapa de acero prelacada. Dimensiones 1534x83x60 mm, incluso driver externo, piezas especiales de cuelgue bajo bandeja y lßmpara T8 de 20 W y 4200 _K. Se medirß el n·mero de unidades realmente ejecutadas seg·n especificaciones de Proyecto.</t>
  </si>
  <si>
    <t>Uds.</t>
  </si>
  <si>
    <t>Largo</t>
  </si>
  <si>
    <t>Ancho</t>
  </si>
  <si>
    <t>Alto</t>
  </si>
  <si>
    <t>Parcial</t>
  </si>
  <si>
    <t>Subtotal</t>
  </si>
  <si>
    <t>FW+Z.Booty</t>
  </si>
  <si>
    <t>Cardio</t>
  </si>
  <si>
    <t>10204</t>
  </si>
  <si>
    <t>Partida</t>
  </si>
  <si>
    <t>u</t>
  </si>
  <si>
    <t>Luminaria estanca Airfal Supra S0108L, led</t>
  </si>
  <si>
    <t>Suministro y montaje de luminaria estanca Airfal Supra S0208L, para 1 tubo led, cuerpo de luminaria en ABS, difusor de policarbonato o acrØlico, chasis interno en aluminio brillo, prensaestopas PG11, IP65. Dimensiones 1274x870x100 mm, incluso driver externo, piezas especiales de cuelgue bajo bandeja y lßmpara T8 de 20 W y 4200 _K. Se medirß el n·mero de unidades realmente ejecutadas seg·n especificaciones de Proyecto.</t>
  </si>
  <si>
    <t>Uds.</t>
  </si>
  <si>
    <t>Largo</t>
  </si>
  <si>
    <t>Ancho</t>
  </si>
  <si>
    <t>Alto</t>
  </si>
  <si>
    <t>Parcial</t>
  </si>
  <si>
    <t>Subtotal</t>
  </si>
  <si>
    <t>ACS</t>
  </si>
  <si>
    <t>PCI</t>
  </si>
  <si>
    <t>Limpieza</t>
  </si>
  <si>
    <t>Vest Fem</t>
  </si>
  <si>
    <t>Vest Masc</t>
  </si>
  <si>
    <t>Sala TÚnica</t>
  </si>
  <si>
    <t>10203A</t>
  </si>
  <si>
    <t>Partida</t>
  </si>
  <si>
    <t>u</t>
  </si>
  <si>
    <t>Regleta industrial Airfal Delta D0050L L=1534mm</t>
  </si>
  <si>
    <t>Suministro y montaje de regleta industrial Airfal Delta D0051L, para 1 tubo led, en chapa de acero prelacada. Dimensiones 1534x83x60 mm, incluso driver externo, piezas especiales de cuelgue bajo bandeja y lßmpara T8 de 20 W y 3000 _K. Se medirß el n·mero de unidades realmente ejecutadas seg·n especificaciones de Proyecto.</t>
  </si>
  <si>
    <t>Uds.</t>
  </si>
  <si>
    <t>Largo</t>
  </si>
  <si>
    <t>Ancho</t>
  </si>
  <si>
    <t>Alto</t>
  </si>
  <si>
    <t>Parcial</t>
  </si>
  <si>
    <t>Subtotal</t>
  </si>
  <si>
    <t>Strenght</t>
  </si>
  <si>
    <t>10203B</t>
  </si>
  <si>
    <t>Partida</t>
  </si>
  <si>
    <t>u</t>
  </si>
  <si>
    <t>Regleta industrial Airfal Delta D0050L L=1233mm</t>
  </si>
  <si>
    <t>Suministro y montaje de regleta industrial Airfal Delta D0051L, para 1 tubo led, en chapa de acero prelacada. Dimensiones 1233x83x60 mm, incluso driver externo, piezas especiales de cuelgue bajo bandeja y lßmpara T8 de 20 W y 3000 _K. Se medirß el n·mero de unidades realmente ejecutadas seg·n especificaciones de Proyecto.</t>
  </si>
  <si>
    <t>Uds.</t>
  </si>
  <si>
    <t>Largo</t>
  </si>
  <si>
    <t>Ancho</t>
  </si>
  <si>
    <t>Alto</t>
  </si>
  <si>
    <t>Parcial</t>
  </si>
  <si>
    <t>Subtotal</t>
  </si>
  <si>
    <t>Cross</t>
  </si>
  <si>
    <t>10207</t>
  </si>
  <si>
    <t>Partida</t>
  </si>
  <si>
    <t>u</t>
  </si>
  <si>
    <t>Alumbrado emergencia 150 l·menes</t>
  </si>
  <si>
    <t>Suministro e instalaci«n en superficie en zonas comunes de luminaria de emergencia, con tubo lineal fluorescente, 6 W - G5, flujo luminoso 150 l·menes, carcasa de 245x110x58 mm, clase II, IP42, con baterØas de Ni-Cd de alta temperatura, autonomØa de 1 h, alimentaci«n a 230 V, tiempo de carga 24 h. Incluso accesorios y elementos de fijaci«n. Se medirß el n·mero de unidades realmente ejecutadas seg·n especificaciones de Proyecto.</t>
  </si>
  <si>
    <t>Uds.</t>
  </si>
  <si>
    <t>Largo</t>
  </si>
  <si>
    <t>Ancho</t>
  </si>
  <si>
    <t>Alto</t>
  </si>
  <si>
    <t>Parcial</t>
  </si>
  <si>
    <t>Subtotal</t>
  </si>
  <si>
    <t>Emergencias</t>
  </si>
  <si>
    <t>10135</t>
  </si>
  <si>
    <t>Partida</t>
  </si>
  <si>
    <t>u</t>
  </si>
  <si>
    <t>Interruptor de superficie</t>
  </si>
  <si>
    <t>Interruptor unipolar (1P), intensidad asignada 10 AX, tensi«n asignada 250 V, con tecla simple y color seg·n plano; instalaci«n en superficie. Se medirß el n·mero de unidades realmente ejecutadas seg·n especificaciones de Proyecto.</t>
  </si>
  <si>
    <t>Uds.</t>
  </si>
  <si>
    <t>Largo</t>
  </si>
  <si>
    <t>Ancho</t>
  </si>
  <si>
    <t>Alto</t>
  </si>
  <si>
    <t>Parcial</t>
  </si>
  <si>
    <t>Subtotal</t>
  </si>
  <si>
    <t>Adaptados</t>
  </si>
  <si>
    <t>Agility</t>
  </si>
  <si>
    <t>Speed</t>
  </si>
  <si>
    <t>ACS</t>
  </si>
  <si>
    <t>PCI</t>
  </si>
  <si>
    <t>Limpieza</t>
  </si>
  <si>
    <t>Sala TÚcnica</t>
  </si>
  <si>
    <t>10136</t>
  </si>
  <si>
    <t>Partida</t>
  </si>
  <si>
    <t>u</t>
  </si>
  <si>
    <t>Conmutador de superficie</t>
  </si>
  <si>
    <t>Conmutador de intensidad asignada 10 AX, tensi«n asignada 250 V, con tecla simple y color seg·n plano; instalaci«n en superficie. Se medirß el n·mero de unidades realmente ejecutadas seg·n especificaciones de Proyecto.</t>
  </si>
  <si>
    <t>Uds.</t>
  </si>
  <si>
    <t>Largo</t>
  </si>
  <si>
    <t>Ancho</t>
  </si>
  <si>
    <t>Alto</t>
  </si>
  <si>
    <t>Parcial</t>
  </si>
  <si>
    <t>Subtotal</t>
  </si>
  <si>
    <t>Agility</t>
  </si>
  <si>
    <t>Entrada</t>
  </si>
  <si>
    <t>Oficina</t>
  </si>
  <si>
    <t>10002</t>
  </si>
  <si>
    <t>Partida</t>
  </si>
  <si>
    <t>m</t>
  </si>
  <si>
    <t>Tira Led</t>
  </si>
  <si>
    <t>Tira Led</t>
  </si>
  <si>
    <t>Uds.</t>
  </si>
  <si>
    <t>Largo</t>
  </si>
  <si>
    <t>Ancho</t>
  </si>
  <si>
    <t>Alto</t>
  </si>
  <si>
    <t>Parcial</t>
  </si>
  <si>
    <t>Subtotal</t>
  </si>
  <si>
    <t>Puerta Acceso</t>
  </si>
  <si>
    <t>C10.2</t>
  </si>
  <si>
    <t>C10.3</t>
  </si>
  <si>
    <t>Capítulo</t>
  </si>
  <si>
    <t>Telecomunicaciones</t>
  </si>
  <si>
    <t>10301</t>
  </si>
  <si>
    <t>Partida</t>
  </si>
  <si>
    <t>pa</t>
  </si>
  <si>
    <t>Acometida Telecomunicaciones</t>
  </si>
  <si>
    <t>PA de conexionado de red interior de telecomunicaciones (RACK) con punto de conexi«n exterior, formado por registro de entrada, canalizaci«n y cableado, incluso conexionado y pruebas.</t>
  </si>
  <si>
    <t>Uds.</t>
  </si>
  <si>
    <t>Largo</t>
  </si>
  <si>
    <t>Ancho</t>
  </si>
  <si>
    <t>Alto</t>
  </si>
  <si>
    <t>Parcial</t>
  </si>
  <si>
    <t>Subtotal</t>
  </si>
  <si>
    <t>10315</t>
  </si>
  <si>
    <t>Partida</t>
  </si>
  <si>
    <t>m</t>
  </si>
  <si>
    <t>Cable rØgido U/UTP 4 pares trenzados Cu</t>
  </si>
  <si>
    <t>Cable rØgido U/UTP no propagador de la llama de 4 pares trenzados de cobre, categorØa 6, reacci«n al fuego clase Dca-s2,d2,a2 seg·n UNE-EN 50575, con conductor unifilar de cobre, aislamiento de polietileno y vaina exterior de poliolefina termoplßstica LSFH libre de hal«genos, con baja emisi«n de humos y gases corrosivos, de 6,2 mm de dißmetro. Incluso accesorios y elementos de sujeci«n. Se medirß la longitud realmente ejecutada seg·n especificaciones de Proyecto.</t>
  </si>
  <si>
    <t>Uds.</t>
  </si>
  <si>
    <t>Largo</t>
  </si>
  <si>
    <t>Ancho</t>
  </si>
  <si>
    <t>Alto</t>
  </si>
  <si>
    <t>Parcial</t>
  </si>
  <si>
    <t>Subtotal</t>
  </si>
  <si>
    <t>10317B</t>
  </si>
  <si>
    <t>Partida</t>
  </si>
  <si>
    <t>u</t>
  </si>
  <si>
    <t>Armario rack de telecomunicaciones U29</t>
  </si>
  <si>
    <t>Armario rack U29 para telecomunicaciones, en acero laminado, puerta frontal de cristal templado con cerradura y ventilaci«n lateral, puerta trasera en metal perforado con ventilaci«n completa y cerradura, laterales en metal perforado con ventilaci«n completa. Con paneles RJ45 para datos, cßmaras IP, electr«nica de red con conectividad de fibra «ptica y enchufes necesarios. Incluso latiguillos, accesorios, conectores, peque±o material, ayudas , etiquetado y switch (24 puertos) . Se medirß el n·mero de unidades realmente ejecutadas seg·n especificaciones de Proyecto.</t>
  </si>
  <si>
    <t>Uds.</t>
  </si>
  <si>
    <t>Largo</t>
  </si>
  <si>
    <t>Ancho</t>
  </si>
  <si>
    <t>Alto</t>
  </si>
  <si>
    <t>Parcial</t>
  </si>
  <si>
    <t>Subtotal</t>
  </si>
  <si>
    <t>103211</t>
  </si>
  <si>
    <t>Partida</t>
  </si>
  <si>
    <t>u</t>
  </si>
  <si>
    <t>Preinstalaci«n control de acceso</t>
  </si>
  <si>
    <t>Preinstalaci«n control de acceso, cableado y conexionado del sistema de lector de huellas</t>
  </si>
  <si>
    <t>Uds.</t>
  </si>
  <si>
    <t>Largo</t>
  </si>
  <si>
    <t>Ancho</t>
  </si>
  <si>
    <t>Alto</t>
  </si>
  <si>
    <t>Parcial</t>
  </si>
  <si>
    <t>Subtotal</t>
  </si>
  <si>
    <t>103212</t>
  </si>
  <si>
    <t>Partida</t>
  </si>
  <si>
    <t>u</t>
  </si>
  <si>
    <t>Preinstalaci«n tornos de acceso</t>
  </si>
  <si>
    <t>Preinstalaci«n tornos de acceso, cableado y conexionado del sistemaa.</t>
  </si>
  <si>
    <t>Uds.</t>
  </si>
  <si>
    <t>Largo</t>
  </si>
  <si>
    <t>Ancho</t>
  </si>
  <si>
    <t>Alto</t>
  </si>
  <si>
    <t>Parcial</t>
  </si>
  <si>
    <t>Subtotal</t>
  </si>
  <si>
    <t>07.04.04</t>
  </si>
  <si>
    <t>Partida</t>
  </si>
  <si>
    <t>u</t>
  </si>
  <si>
    <t>Registro enlace 450x450x120 mm.</t>
  </si>
  <si>
    <t>REGISTRO DE ENLACE DE 450x450x120 MM, INCLUSO P.P. DE PEQUEÐO MATERIAL Y AYUDAS DE ALBAÐILER_A; CONSTRUIDO SEG+N REGLAMENTO DE ICT. MEDIDA LA UNIDAD EJECUTADA</t>
  </si>
  <si>
    <t>Uds.</t>
  </si>
  <si>
    <t>Largo</t>
  </si>
  <si>
    <t>Ancho</t>
  </si>
  <si>
    <t>Alto</t>
  </si>
  <si>
    <t>Parcial</t>
  </si>
  <si>
    <t>Subtotal</t>
  </si>
  <si>
    <t>10150</t>
  </si>
  <si>
    <t>Partida</t>
  </si>
  <si>
    <t>u</t>
  </si>
  <si>
    <t>Recibido de torniquetes y portillos de control de acceso</t>
  </si>
  <si>
    <t>Recibido de torniquetes y portillos de control de acceso, suministrados en obra por terceros. Incluso replanteo, colocaci«n, anclaje a suelo y elementos de fijaci«n necesarios. Se medirß la unidad ejecutada.</t>
  </si>
  <si>
    <t>Uds.</t>
  </si>
  <si>
    <t>Largo</t>
  </si>
  <si>
    <t>Ancho</t>
  </si>
  <si>
    <t>Alto</t>
  </si>
  <si>
    <t>Parcial</t>
  </si>
  <si>
    <t>Subtotal</t>
  </si>
  <si>
    <t>182550</t>
  </si>
  <si>
    <t>Partida</t>
  </si>
  <si>
    <t>u</t>
  </si>
  <si>
    <t>Colocaci«n de Antena WiFi</t>
  </si>
  <si>
    <t>Instalaci«n de antena WiFi, suministrada por la Propiedad. Incluye todas las operaciones necesarias para el montaje correcto y seguro de la antena en la ubicaci«n especificada, asegurando su funcionalidad «ptima para la recepci«n y emisi«n de se±ales inalßmbricas.</t>
  </si>
  <si>
    <t>Uds.</t>
  </si>
  <si>
    <t>Largo</t>
  </si>
  <si>
    <t>Ancho</t>
  </si>
  <si>
    <t>Alto</t>
  </si>
  <si>
    <t>Parcial</t>
  </si>
  <si>
    <t>Subtotal</t>
  </si>
  <si>
    <t>C10.3</t>
  </si>
  <si>
    <t>C10.4</t>
  </si>
  <si>
    <t>Capítulo</t>
  </si>
  <si>
    <t>Audio y megafonØa</t>
  </si>
  <si>
    <t>EXT021</t>
  </si>
  <si>
    <t>Partida</t>
  </si>
  <si>
    <t>m</t>
  </si>
  <si>
    <t>Circuito interior con cable libre de oxØgeno 2x1,5mm2</t>
  </si>
  <si>
    <t>Circuito de sonido formado por cable 2x1.5 mm2 libre de oxigeno. Medida la unidad totalmente ejecutada.</t>
  </si>
  <si>
    <t>Uds.</t>
  </si>
  <si>
    <t>Largo</t>
  </si>
  <si>
    <t>Ancho</t>
  </si>
  <si>
    <t>Alto</t>
  </si>
  <si>
    <t>Parcial</t>
  </si>
  <si>
    <t>Subtotal</t>
  </si>
  <si>
    <t>EXT021B</t>
  </si>
  <si>
    <t>Partida</t>
  </si>
  <si>
    <t>m</t>
  </si>
  <si>
    <t>Circuito interior con cable libre de oxØgeno 2x2,5mm2</t>
  </si>
  <si>
    <t>Circuito de sonido formado por cable 2x2.5 mm2 libre de oxigeno. Medida la unidad totalmente ejecutada.</t>
  </si>
  <si>
    <t>Uds.</t>
  </si>
  <si>
    <t>Largo</t>
  </si>
  <si>
    <t>Ancho</t>
  </si>
  <si>
    <t>Alto</t>
  </si>
  <si>
    <t>Parcial</t>
  </si>
  <si>
    <t>Subtotal</t>
  </si>
  <si>
    <t>EXT022</t>
  </si>
  <si>
    <t>Partida</t>
  </si>
  <si>
    <t>m</t>
  </si>
  <si>
    <t>Conducto PVC Flexible de 20mm</t>
  </si>
  <si>
    <t>Canalizaci«n para preinstalaci«n de sonido formado por tubo corrugado de 20mm</t>
  </si>
  <si>
    <t>Uds.</t>
  </si>
  <si>
    <t>Largo</t>
  </si>
  <si>
    <t>Ancho</t>
  </si>
  <si>
    <t>Alto</t>
  </si>
  <si>
    <t>Parcial</t>
  </si>
  <si>
    <t>Subtotal</t>
  </si>
  <si>
    <t>02.06.06</t>
  </si>
  <si>
    <t>Partida</t>
  </si>
  <si>
    <t>m</t>
  </si>
  <si>
    <t>Tubo corrugado Diam 25mm</t>
  </si>
  <si>
    <t>Tubo corrugado de dißmetro 25mm, con resistencia a compresi«n 320nW y al impacto 2J. Aislante no propagador de llama.</t>
  </si>
  <si>
    <t>Uds.</t>
  </si>
  <si>
    <t>Largo</t>
  </si>
  <si>
    <t>Ancho</t>
  </si>
  <si>
    <t>Alto</t>
  </si>
  <si>
    <t>Parcial</t>
  </si>
  <si>
    <t>Subtotal</t>
  </si>
  <si>
    <t>02.06.08</t>
  </si>
  <si>
    <t>Partida</t>
  </si>
  <si>
    <t>m</t>
  </si>
  <si>
    <t>Tubo corrugado Diam 35mm</t>
  </si>
  <si>
    <t>Tubo corrugado de dißmetro 35mm, con resistencia a compresi«n 320nW y al impacto 2J. Aislante no propagador de llama.</t>
  </si>
  <si>
    <t>Uds.</t>
  </si>
  <si>
    <t>Largo</t>
  </si>
  <si>
    <t>Ancho</t>
  </si>
  <si>
    <t>Alto</t>
  </si>
  <si>
    <t>Parcial</t>
  </si>
  <si>
    <t>Subtotal</t>
  </si>
  <si>
    <t>02.06.07</t>
  </si>
  <si>
    <t>Partida</t>
  </si>
  <si>
    <t>m</t>
  </si>
  <si>
    <t>Tubo rØgido PVC Diam 25mm</t>
  </si>
  <si>
    <t>Tubo rØgido gris de pvc de 25 mm con manguito incluido apto para canalizaciones superficiales ordinarias fijas. Contruido seg·n la norma une-en 61386-21, este tiene las siguientes caracterØsticas:
Resistencia a la compresi«n &gt;1250 newton, resistencia al impacto &gt;2j a -5_c, temperatura mØnima y mßxima de utilizaci«n -5 +60_c, es un tubo rØgido y curvable en caliente o mediante  muelle, rigidez elÚctrica &gt;200v.</t>
  </si>
  <si>
    <t>Uds.</t>
  </si>
  <si>
    <t>Largo</t>
  </si>
  <si>
    <t>Ancho</t>
  </si>
  <si>
    <t>Alto</t>
  </si>
  <si>
    <t>Parcial</t>
  </si>
  <si>
    <t>Subtotal</t>
  </si>
  <si>
    <t>C10.4</t>
  </si>
  <si>
    <t>SG10</t>
  </si>
  <si>
    <t>SG09</t>
  </si>
  <si>
    <t>Capítulo</t>
  </si>
  <si>
    <t>Instalaci«n de fontanerØa y ACS</t>
  </si>
  <si>
    <t>C009.1</t>
  </si>
  <si>
    <t>Capítulo</t>
  </si>
  <si>
    <t>Agua frØa</t>
  </si>
  <si>
    <t>09000</t>
  </si>
  <si>
    <t>Partida</t>
  </si>
  <si>
    <t>u</t>
  </si>
  <si>
    <t>Certificaci«n y legalizaci«n instalaci«n fontaneria</t>
  </si>
  <si>
    <t>Certificaci«n y legalizaci«n de la instalaci«n de fontaneria, incluyendo preparaci«n, visado (si procede) y tramitaci«n, hasta buen fin y ante los orgamismos competentes de boletines, proyectos actualizados con las modificaciones que surgieran durante la obra y cualquier otra documentaci«n que fuera necesaria. Incluso presentaci«n al cliente de planos en soporte DWG.</t>
  </si>
  <si>
    <t>Uds.</t>
  </si>
  <si>
    <t>Largo</t>
  </si>
  <si>
    <t>Ancho</t>
  </si>
  <si>
    <t>Alto</t>
  </si>
  <si>
    <t>Parcial</t>
  </si>
  <si>
    <t>Subtotal</t>
  </si>
  <si>
    <t>08.02</t>
  </si>
  <si>
    <t>Partida</t>
  </si>
  <si>
    <t>u</t>
  </si>
  <si>
    <t>Instalaci«n provisional de obra de fontanerØa</t>
  </si>
  <si>
    <t>Instalaci«n provisional de fontanerØa.</t>
  </si>
  <si>
    <t>Uds.</t>
  </si>
  <si>
    <t>Largo</t>
  </si>
  <si>
    <t>Ancho</t>
  </si>
  <si>
    <t>Alto</t>
  </si>
  <si>
    <t>Parcial</t>
  </si>
  <si>
    <t>Subtotal</t>
  </si>
  <si>
    <t>09001</t>
  </si>
  <si>
    <t>Partida</t>
  </si>
  <si>
    <t>PA</t>
  </si>
  <si>
    <t>Acometida instalaci«n fontanerØa, a justificar</t>
  </si>
  <si>
    <t>Partida alzada de instalaci«n de conexi«n con red de agua potable y elementos necesarios para el cumplimiento de la normativa de la emrpesa suministradora en el apartado de agua potable, distribuci«n formada por m«dulo para contador, incluso llave de corte, filtro, puentes y elementos necesarios para cumplimiento de la empresa suministradora. No se incluye el conexionado del m«dulo contador con la red de distribuci«n ni actuaci«n exterior mßs allß del contador de aguas, trabajo que ejecutarß la empresa suministradora. A justificar en obra.</t>
  </si>
  <si>
    <t>Uds.</t>
  </si>
  <si>
    <t>Largo</t>
  </si>
  <si>
    <t>Ancho</t>
  </si>
  <si>
    <t>Alto</t>
  </si>
  <si>
    <t>Parcial</t>
  </si>
  <si>
    <t>Subtotal</t>
  </si>
  <si>
    <t>09002A</t>
  </si>
  <si>
    <t>Partida</t>
  </si>
  <si>
    <t>u</t>
  </si>
  <si>
    <t>Grupo de presi«n Baeza 2xMulti 25-5M</t>
  </si>
  <si>
    <t>Grupo de presi«n Baeza 2xMulti 25-5M + cuadro TAL, Ref. 69481, compuesto por dos bombas elÚctricas Espa modelo 25-5M, 1,25 CV, 230 V. Cuerpo de bomba, eje y turbinas en acero inoxidable AISI 304, difusores en tecnopolØmero y soportes de aspiraci«n e impulsi«n en acero gris de fundici«n. Capaz de ofrecer un caudal mßximo unitario de 5,5 m3/h a un presi«n mßxima de 66,5 mca, Incluso cuadro elÚctrico para el control y protecci«n de las dos bombas de 1,25 CV, 230 V, monofßsico, incluyendo caja plßstica, toma de control para boya, protecci«n contra cortocircuito y sobrecarga, contadores de potencia, pilotos de se±alizaci«n, maniobra en baja tensi«n, bornas de entraa y salida. Incluso colector de impulsi«n, 2 vßlvulas de esfera de 1 1/4", 2 vßlvulas de retenci«n de 1 1/4, 2 presostatos, elementos de uni«n y enlace, todo ello montado sobre bancada. Medida la unidad instalada, probada y funcionando seg·n especificaciones de proyecto.</t>
  </si>
  <si>
    <t>Uds.</t>
  </si>
  <si>
    <t>Largo</t>
  </si>
  <si>
    <t>Ancho</t>
  </si>
  <si>
    <t>Alto</t>
  </si>
  <si>
    <t>Parcial</t>
  </si>
  <si>
    <t>Subtotal</t>
  </si>
  <si>
    <t>05.03.09B</t>
  </si>
  <si>
    <t>Partida</t>
  </si>
  <si>
    <t>u</t>
  </si>
  <si>
    <t>Dep«sito de membrana 200 litros</t>
  </si>
  <si>
    <t>Dep«sito de membrana de 200 litros de capacidad, en acero pintado exteriormente y provisto de membrana elßstica especial (no recambiable), con cßmara de gas conteniendo nitr«geno a presi«n. Condiciones mßximas de trabajo 10 bar y 120_C, incluso ayudas de alba±ilerØa. Medida la unidad ejecutada. Ubicado seg·n esquema de fontanerØa en planos de proyecto.</t>
  </si>
  <si>
    <t>Uds.</t>
  </si>
  <si>
    <t>Largo</t>
  </si>
  <si>
    <t>Ancho</t>
  </si>
  <si>
    <t>Alto</t>
  </si>
  <si>
    <t>Parcial</t>
  </si>
  <si>
    <t>Subtotal</t>
  </si>
  <si>
    <t>09071A</t>
  </si>
  <si>
    <t>Partida</t>
  </si>
  <si>
    <t>u</t>
  </si>
  <si>
    <t>Descalcificador AQUALAI modelo K1000VUF (5.000L/h)</t>
  </si>
  <si>
    <t>Descalcificador AQUALAI modelo K1000VUF de polietileno reforzado con fibra de vidrio y resina eposi, con vßlvula electronica volumetrica con tiempos programables, caudal mßximo de 5.000L/h, conexi«n mediante ByPass, y consumo de sal por regeneraci«n/botella de 10 Kg. Se medirß el n·mero de unidades realmente ejecutadas seg·n especificaciones de Proyecto. Ubicado seg·n esquema de fontanerØa en planos de proyecto.</t>
  </si>
  <si>
    <t>Uds.</t>
  </si>
  <si>
    <t>Largo</t>
  </si>
  <si>
    <t>Ancho</t>
  </si>
  <si>
    <t>Alto</t>
  </si>
  <si>
    <t>Parcial</t>
  </si>
  <si>
    <t>Subtotal</t>
  </si>
  <si>
    <t>05.03.0240</t>
  </si>
  <si>
    <t>Partida</t>
  </si>
  <si>
    <t>u</t>
  </si>
  <si>
    <t>CalderØn de presi«n hidroneumßtico 40L</t>
  </si>
  <si>
    <t>CalderØn de presi«n hidroneumßtico circular de acero de 40 litros de capacidad para colgar de forjado, con tapa del mismo material, incluso llaves de corte de esfera, tuberØa de polipropileno de 63 mm y grifo de lat«n de 1", totalmente instalado. Ubicado seg·n esquema de fontanerØa en planos de proyecto.</t>
  </si>
  <si>
    <t>Uds.</t>
  </si>
  <si>
    <t>Largo</t>
  </si>
  <si>
    <t>Ancho</t>
  </si>
  <si>
    <t>Alto</t>
  </si>
  <si>
    <t>Parcial</t>
  </si>
  <si>
    <t>Subtotal</t>
  </si>
  <si>
    <t>Dep«sito de Fluxores</t>
  </si>
  <si>
    <t>090311</t>
  </si>
  <si>
    <t>Partida</t>
  </si>
  <si>
    <t>u</t>
  </si>
  <si>
    <t>Dep«sito auxliliar 1000 l polietileno alta densidad, prismßtico</t>
  </si>
  <si>
    <t>Dep«sito de polietileno de alta densidad, 1000 l. Con vßlvula de corte de compuerta de 1" DN 25 mm para la entrada y vßlvula de corte de compuerta de 1" DN 25 mm para la salida. Se medirß el n·mero de unidades realmente ejecutadas seg·n especificaciones de Proyecto.</t>
  </si>
  <si>
    <t>Uds.</t>
  </si>
  <si>
    <t>Largo</t>
  </si>
  <si>
    <t>Ancho</t>
  </si>
  <si>
    <t>Alto</t>
  </si>
  <si>
    <t>Parcial</t>
  </si>
  <si>
    <t>Subtotal</t>
  </si>
  <si>
    <t>09030B</t>
  </si>
  <si>
    <t>Partida</t>
  </si>
  <si>
    <t>m</t>
  </si>
  <si>
    <t>TuberØa instalaci«n interior PP-R, 63 mm</t>
  </si>
  <si>
    <t>TuberØa de polipropileno PPR (copolimero Random), de 63x10,5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</si>
  <si>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</si>
  <si>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</si>
  <si>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</si>
  <si>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</si>
  <si>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</si>
  <si>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</si>
  <si>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090200</t>
  </si>
  <si>
    <t>Partida</t>
  </si>
  <si>
    <t>m</t>
  </si>
  <si>
    <t>TuberØa instalaci«n interior PP-R, 50 mm</t>
  </si>
  <si>
    <t>TuberØa de polipropileno PPR (copolimero Random), de 50x8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</si>
  <si>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</si>
  <si>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</si>
  <si>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</si>
  <si>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</si>
  <si>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</si>
  <si>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</si>
  <si>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09028</t>
  </si>
  <si>
    <t>Partida</t>
  </si>
  <si>
    <t>m</t>
  </si>
  <si>
    <t>TuberØa instalaci«n interior PP-R, 40 mm</t>
  </si>
  <si>
    <t>TuberØa de polipropileno PPR (copolimero Random), de 40x6,7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</si>
  <si>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</si>
  <si>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</si>
  <si>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</si>
  <si>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</si>
  <si>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</si>
  <si>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</si>
  <si>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09027</t>
  </si>
  <si>
    <t>Partida</t>
  </si>
  <si>
    <t>m</t>
  </si>
  <si>
    <t>TuberØa instalaci«n interior PP-R, 32 mm</t>
  </si>
  <si>
    <t>TuberØa de polipropileno PPR (copolimero Random), de 32x5,4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</si>
  <si>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</si>
  <si>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</si>
  <si>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</si>
  <si>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</si>
  <si>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</si>
  <si>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</si>
  <si>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09022</t>
  </si>
  <si>
    <t>Partida</t>
  </si>
  <si>
    <t>m</t>
  </si>
  <si>
    <t>TuberØa instalaci«n interior PP-R 25 mm</t>
  </si>
  <si>
    <t>TuberØa de polipropileno PPR (copolimero Random), de 25x4,2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</si>
  <si>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</si>
  <si>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</si>
  <si>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</si>
  <si>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</si>
  <si>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</si>
  <si>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</si>
  <si>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09026</t>
  </si>
  <si>
    <t>Partida</t>
  </si>
  <si>
    <t>m</t>
  </si>
  <si>
    <t>TuberØa instalaci«n interior PP-R, 20 mm</t>
  </si>
  <si>
    <t>TuberØa de polipropileno PPR (copolimero Random), de 20x3,4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</si>
  <si>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</si>
  <si>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</si>
  <si>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</si>
  <si>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</si>
  <si>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</si>
  <si>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</si>
  <si>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EN639</t>
  </si>
  <si>
    <t>Partida</t>
  </si>
  <si>
    <t>m</t>
  </si>
  <si>
    <t>Encoquillado de tuberØa e=9mm para tuberØa 63mm</t>
  </si>
  <si>
    <t>Aislamiento tÚrmico flexible para tuberØa de dißmetro 63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  Se medirß la longitud realmente ejecutada seg·n especificaciones de Proyecto.</t>
  </si>
  <si>
    <t>Uds.</t>
  </si>
  <si>
    <t>Largo</t>
  </si>
  <si>
    <t>Ancho</t>
  </si>
  <si>
    <t>Alto</t>
  </si>
  <si>
    <t>Parcial</t>
  </si>
  <si>
    <t>Subtotal</t>
  </si>
  <si>
    <t>EN4090</t>
  </si>
  <si>
    <t>Partida</t>
  </si>
  <si>
    <t>m</t>
  </si>
  <si>
    <t>Encoquillado de tuberØa e=9mm para tuberØa 50mm</t>
  </si>
  <si>
    <t>Aislamiento tÚrmico flexible para tuberØa de dißmetro 50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</si>
  <si>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</si>
  <si>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</si>
  <si>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</si>
  <si>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</si>
  <si>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</si>
  <si>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</si>
  <si>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EN409</t>
  </si>
  <si>
    <t>Partida</t>
  </si>
  <si>
    <t>m</t>
  </si>
  <si>
    <t>Encoquillado de tuberØa e=9mm para tuberØa 40mm</t>
  </si>
  <si>
    <t>Aislamiento tÚrmico flexible para tuberØa de dißmetro 40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</si>
  <si>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</si>
  <si>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</si>
  <si>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</si>
  <si>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</si>
  <si>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</si>
  <si>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</si>
  <si>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EN329</t>
  </si>
  <si>
    <t>Partida</t>
  </si>
  <si>
    <t>m</t>
  </si>
  <si>
    <t>Encoquillado de tuberØa e=9mm para tuberØa 32mm</t>
  </si>
  <si>
    <t>Aislamiento tÚrmico flexible para tuberØa de dißmetro 32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</si>
  <si>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</si>
  <si>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</si>
  <si>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</si>
  <si>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</si>
  <si>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</si>
  <si>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</si>
  <si>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EN259</t>
  </si>
  <si>
    <t>Partida</t>
  </si>
  <si>
    <t>m</t>
  </si>
  <si>
    <t>Encoquillado de tuberØa e=9mm para tuberØa 25mm</t>
  </si>
  <si>
    <t>Aislamiento tÚrmico flexible para tuberØa de dißmetro 25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</si>
  <si>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</si>
  <si>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</si>
  <si>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</si>
  <si>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</si>
  <si>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</si>
  <si>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</si>
  <si>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EN209</t>
  </si>
  <si>
    <t>Partida</t>
  </si>
  <si>
    <t>m</t>
  </si>
  <si>
    <t>Encoquillado de tuberØa e=9mm para tuberØa 20mm</t>
  </si>
  <si>
    <t>Aislamiento tÚrmico flexible para tuberØa de dißmetro 20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</si>
  <si>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</si>
  <si>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</si>
  <si>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</si>
  <si>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</si>
  <si>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</si>
  <si>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</si>
  <si>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05.03.01</t>
  </si>
  <si>
    <t>Partida</t>
  </si>
  <si>
    <t>u</t>
  </si>
  <si>
    <t>Purgador manual de aire</t>
  </si>
  <si>
    <t>Purgador manual de aire, incluso juntas, peque±o material y montaje. Medida la unidad totalmente ejecutada</t>
  </si>
  <si>
    <t>Uds.</t>
  </si>
  <si>
    <t>Largo</t>
  </si>
  <si>
    <t>Ancho</t>
  </si>
  <si>
    <t>Alto</t>
  </si>
  <si>
    <t>Parcial</t>
  </si>
  <si>
    <t>Subtotal</t>
  </si>
  <si>
    <t>C009.1</t>
  </si>
  <si>
    <t>C009.2</t>
  </si>
  <si>
    <t>Capítulo</t>
  </si>
  <si>
    <t>Agua caliente sanitaria</t>
  </si>
  <si>
    <t>092020</t>
  </si>
  <si>
    <t>Partida</t>
  </si>
  <si>
    <t>m</t>
  </si>
  <si>
    <t>TuberØa ACS instalaci«n interior PP-R 20 mm c/aislam</t>
  </si>
  <si>
    <t>TuberØa general de distribuci«n de A.C.S. formada por tubo de polipropileno copolØmero random (PP-R), de 20 mm de dißmetro exterior, PN=20 atm, con aislamiento mediante espuma elastomÚrica de espesor 40mm conforme UNE-EN-ISO-15874, totalmente montada, incluyendo p.p. de piezas especiales (codos, manguitos, etc), y p.p de medios auxiliares. Se medirß el n·mero de unidades realmente ejecutadas seg·n especificaciones de Proyecto.</t>
  </si>
  <si>
    <t>Uds.</t>
  </si>
  <si>
    <t>Largo</t>
  </si>
  <si>
    <t>Ancho</t>
  </si>
  <si>
    <t>Alto</t>
  </si>
  <si>
    <t>Parcial</t>
  </si>
  <si>
    <t>Subtotal</t>
  </si>
  <si>
    <t>092032</t>
  </si>
  <si>
    <t>Partida</t>
  </si>
  <si>
    <t>m</t>
  </si>
  <si>
    <t>TuberØa ACS instalaci«n interior PP-R 32 mm c/aislam</t>
  </si>
  <si>
    <t>TuberØa general de distribuci«n de A.C.S. formada por tubo de polipropileno copolØmero random (PP-R), de 32 mm de dißmetro exterior, PN=20 atm, con aislamiento mediante espuma elastomÚrica de espesor 40mm conforme UNE-EN-ISO-15874, totalmente montada, incluyendo p.p. de piezas especiales (codos, manguitos, etc), y p.p de medios auxiliares. Se medirß el n·mero de unidades realmente ejecutadas seg·n especificaciones de Proyecto.</t>
  </si>
  <si>
    <t>Uds.</t>
  </si>
  <si>
    <t>Largo</t>
  </si>
  <si>
    <t>Ancho</t>
  </si>
  <si>
    <t>Alto</t>
  </si>
  <si>
    <t>Parcial</t>
  </si>
  <si>
    <t>Subtotal</t>
  </si>
  <si>
    <t>092040</t>
  </si>
  <si>
    <t>Partida</t>
  </si>
  <si>
    <t>m</t>
  </si>
  <si>
    <t>TuberØa ACS instalaci«n interior PP-R 40 mm c/aislam</t>
  </si>
  <si>
    <t>TuberØa general de distribuci«n de A.C.S. formada por tubo de polipropileno copolØmero random (PP-R), de 40 mm de dißmetro exterior, PN=20 atm, con aislamiento mediante espuma elastomÚrica de espesor 40mm conforme UNE-EN-ISO-15874, totalmente montada, incluyendo p.p. de piezas especiales (codos, manguitos, etc), y p.p de medios auxiliares. Se medirß el n·mero de unidades realmente ejecutadas seg·n especificaciones de Proyecto.</t>
  </si>
  <si>
    <t>Uds.</t>
  </si>
  <si>
    <t>Largo</t>
  </si>
  <si>
    <t>Ancho</t>
  </si>
  <si>
    <t>Alto</t>
  </si>
  <si>
    <t>Parcial</t>
  </si>
  <si>
    <t>Subtotal</t>
  </si>
  <si>
    <t>09220</t>
  </si>
  <si>
    <t>Partida</t>
  </si>
  <si>
    <t>u</t>
  </si>
  <si>
    <t>Vaso de expansi«n cerrado 50 l</t>
  </si>
  <si>
    <t>Vaso de expansi«n para A.C.S. de acero vitrificado, capacidad 50 l. Se medirß el n·mero de unidades realmente ejecutadas seg·n especificaciones de Proyecto.</t>
  </si>
  <si>
    <t>Uds.</t>
  </si>
  <si>
    <t>Largo</t>
  </si>
  <si>
    <t>Ancho</t>
  </si>
  <si>
    <t>Alto</t>
  </si>
  <si>
    <t>Parcial</t>
  </si>
  <si>
    <t>Subtotal</t>
  </si>
  <si>
    <t>09221</t>
  </si>
  <si>
    <t>Partida</t>
  </si>
  <si>
    <t>u</t>
  </si>
  <si>
    <t>Bomba de circulaci«n rotor h·medo 1"</t>
  </si>
  <si>
    <t>Electrobomba centrØfuga, de hierro fundido, de tres velocidades, con una potencia de 0,071 kW. Se medirß el n·mero de unidades realmente ejecutadas seg·n especificaciones de Proyecto.</t>
  </si>
  <si>
    <t>Uds.</t>
  </si>
  <si>
    <t>Largo</t>
  </si>
  <si>
    <t>Ancho</t>
  </si>
  <si>
    <t>Alto</t>
  </si>
  <si>
    <t>Parcial</t>
  </si>
  <si>
    <t>Subtotal</t>
  </si>
  <si>
    <t>08052</t>
  </si>
  <si>
    <t>Partida</t>
  </si>
  <si>
    <t>m</t>
  </si>
  <si>
    <t>TuberØa para ventilaci«n de aerotermia, PVC, 160 mm</t>
  </si>
  <si>
    <t>Conducto de ventilaci«n, formado por tubo liso de PVC, de 160 mm de dißmetro exterior, pegado mediante adhesivo, colocado en posici«n horizontal. Incluso material auxiliar para montaje y sujeci«n a la obra, accesorios y piezas especiales. El precio no incluye las compuertas de regulaci«n, las compuertas cortafuego, las rejillas ni los difusores. Se medirß la longitud realmente ejecutada seg·n especificaciones de Proyecto.</t>
  </si>
  <si>
    <t>Uds.</t>
  </si>
  <si>
    <t>Largo</t>
  </si>
  <si>
    <t>Ancho</t>
  </si>
  <si>
    <t>Alto</t>
  </si>
  <si>
    <t>Parcial</t>
  </si>
  <si>
    <t>Subtotal</t>
  </si>
  <si>
    <t>Aerotermias</t>
  </si>
  <si>
    <t>09230HTB</t>
  </si>
  <si>
    <t>Partida</t>
  </si>
  <si>
    <t>u</t>
  </si>
  <si>
    <t>Bomba de calor Ferroli 260HT</t>
  </si>
  <si>
    <t>Bomba de calor aire-agua con acumulador integrado EGEA 260 HT de Ferroli con capacidad de 250 lit  para producci«n de ACS. Instalaci«n de pie. Permite funcionamiento con temperaturas de aire de hasta 4_C sin apoyo elÚctrico.  Refrigerante ecol«gico R134a de bajo impacto ambiental. Desescarche passivo. Posibilidad de conducir la entrada y la salida de aire (Ï 160 mm). Presion estatica disponible ventilador rotativo asincrono: 100 Pa. 
Resistencia elÚctrica de apoyo 1.500 W incluida de serie. Tarjeta WIFI incluida de serie. Control remoto mediante APP para smartphone. Producci«n de ACS hasta 62_C s«lo con bomba de calor sin apoyo electrico. Intercambiador (condensador) de aluminio exterior al dep«sito.  Doble ßnodo de Magnesio para protecci«n corrosi«n, de serie. Control con programa Antilegionela. Temperatura Maxima ACS con resistencia electrica: 75_C. Con entradas digitales para SMART GRID y para gestionar excedente de EnergØa Solar Fotovoltaica. Modos de funcionamiento: ECO - Automatico - Boost - ElÚctrico.  Opci«n OFF PEAK (para programar las horas de producci«n del equipo en las horas de menor coste elÚctrico). Preparado para recirculacion de ACS y gestion bomba recirculaci«n. Control con programaci«n horaria y semanal. Modo vacaciones. Indicado para clima calido. Consumo electrico en calefaccion (sin resistencia) segun ISO 255-3 = 370 W. COP 4,32. Potencia Termica: 1.600 W. COP DHW (A14): 2,60 -  COP DHW (A20): 3,10 seg·n EN 16147:2017: Eficiencia en calefaccion: 127 % seg·n: 2017/1369/UE - Clase Eficiencia Energetica A+. Dimensiones: 621 mm x 1.892 mm
Medida la unidad totalmente instalada, conexionada y funcionando, incluso elementos especificados en el manual de montaje (manguitos electrolØticos, vßlvulas reguladoras de presi«n de 7 bares y demßs elementos indicados en el manual e indicados por el SAT) del equipo facilitado por el fabricante y asistencia SAT.</t>
  </si>
  <si>
    <t>Uds.</t>
  </si>
  <si>
    <t>Largo</t>
  </si>
  <si>
    <t>Ancho</t>
  </si>
  <si>
    <t>Alto</t>
  </si>
  <si>
    <t>Parcial</t>
  </si>
  <si>
    <t>Subtotal</t>
  </si>
  <si>
    <t>Aerotermias</t>
  </si>
  <si>
    <t>C009.2</t>
  </si>
  <si>
    <t>C009.3</t>
  </si>
  <si>
    <t>Capítulo</t>
  </si>
  <si>
    <t>Vßlvulas y elementos</t>
  </si>
  <si>
    <t>05.01.09</t>
  </si>
  <si>
    <t>Partida</t>
  </si>
  <si>
    <t>m</t>
  </si>
  <si>
    <t>Colector polipropileno retic. PP-R, 63 mm dißm.</t>
  </si>
  <si>
    <t>Colector en montaje superficial de longitud media 1m, realizada con tuberia de polipropileno pp-r DN63 con p.p. De uniones soldadas por termofusion, p.p. De piezas especiales, 7 tomas °20 + 1 toma °32 , material de soldadura, elementos de sujeccion a paramentos, ayudas de alba±ileria y peque±o material.
Medida la unidad ejecutada.</t>
  </si>
  <si>
    <t>Uds.</t>
  </si>
  <si>
    <t>Largo</t>
  </si>
  <si>
    <t>Ancho</t>
  </si>
  <si>
    <t>Alto</t>
  </si>
  <si>
    <t>Parcial</t>
  </si>
  <si>
    <t>Subtotal</t>
  </si>
  <si>
    <t>Colector</t>
  </si>
  <si>
    <t>09043</t>
  </si>
  <si>
    <t>Partida</t>
  </si>
  <si>
    <t>u</t>
  </si>
  <si>
    <t>Vßlvula de esfera 3/4" (20 mm)</t>
  </si>
  <si>
    <t>Vßlvula de esfera de lat«n niquelado para roscar de 3/4". Se medirß el n·mero de unidades realmente ejecutadas seg·n especificaciones de Proyecto.</t>
  </si>
  <si>
    <t>Uds.</t>
  </si>
  <si>
    <t>Largo</t>
  </si>
  <si>
    <t>Ancho</t>
  </si>
  <si>
    <t>Alto</t>
  </si>
  <si>
    <t>Parcial</t>
  </si>
  <si>
    <t>Subtotal</t>
  </si>
  <si>
    <t>Producci«n</t>
  </si>
  <si>
    <t>RED Interior</t>
  </si>
  <si>
    <t>09044</t>
  </si>
  <si>
    <t>Partida</t>
  </si>
  <si>
    <t>u</t>
  </si>
  <si>
    <t>Vßlvula de esfera 1" (25 mm)</t>
  </si>
  <si>
    <t>Vßlvula de esfera de lat«n niquelado para roscar de 1". Se medirß el n·mero de unidades realmente ejecutadas seg·n especificaciones de Proyecto.</t>
  </si>
  <si>
    <t>Uds.</t>
  </si>
  <si>
    <t>Largo</t>
  </si>
  <si>
    <t>Ancho</t>
  </si>
  <si>
    <t>Alto</t>
  </si>
  <si>
    <t>Parcial</t>
  </si>
  <si>
    <t>Subtotal</t>
  </si>
  <si>
    <t>Producci«n</t>
  </si>
  <si>
    <t>RED Interior</t>
  </si>
  <si>
    <t>09045</t>
  </si>
  <si>
    <t>Partida</t>
  </si>
  <si>
    <t>u</t>
  </si>
  <si>
    <t>Vßlvula de esfera 1 1/4" (32 mm)</t>
  </si>
  <si>
    <t>Vßlvula de esfera de lat«n niquelado para roscar de 1 1/4". Se medirß el n·mero de unidades realmente ejecutadas seg·n especificaciones de Proyecto.</t>
  </si>
  <si>
    <t>Uds.</t>
  </si>
  <si>
    <t>Largo</t>
  </si>
  <si>
    <t>Ancho</t>
  </si>
  <si>
    <t>Alto</t>
  </si>
  <si>
    <t>Parcial</t>
  </si>
  <si>
    <t>Subtotal</t>
  </si>
  <si>
    <t>RED Interior</t>
  </si>
  <si>
    <t>09046</t>
  </si>
  <si>
    <t>Partida</t>
  </si>
  <si>
    <t>u</t>
  </si>
  <si>
    <t>Vßlvula de esfera 1 1/2" (40 mm)</t>
  </si>
  <si>
    <t>Vßlvula de esfera de lat«n niquelado para roscar de 1 1/2". Se medirß el n·mero de unidades realmente ejecutadas seg·n especificaciones de Proyecto.</t>
  </si>
  <si>
    <t>Uds.</t>
  </si>
  <si>
    <t>Largo</t>
  </si>
  <si>
    <t>Ancho</t>
  </si>
  <si>
    <t>Alto</t>
  </si>
  <si>
    <t>Parcial</t>
  </si>
  <si>
    <t>Subtotal</t>
  </si>
  <si>
    <t>Producci«n ACS</t>
  </si>
  <si>
    <t>RED Interior</t>
  </si>
  <si>
    <t>Producci«n Retorno</t>
  </si>
  <si>
    <t>09048</t>
  </si>
  <si>
    <t>Partida</t>
  </si>
  <si>
    <t>u</t>
  </si>
  <si>
    <t>Vßlvula de esfera 2" (50 mm)</t>
  </si>
  <si>
    <t>Vßlvula de esfera de lat«n niquelado para roscar de 2". Se medirß el n·mero de unidades realmente ejecutadas seg·n especificaciones de Proyecto.</t>
  </si>
  <si>
    <t>Uds.</t>
  </si>
  <si>
    <t>Largo</t>
  </si>
  <si>
    <t>Ancho</t>
  </si>
  <si>
    <t>Alto</t>
  </si>
  <si>
    <t>Parcial</t>
  </si>
  <si>
    <t>Subtotal</t>
  </si>
  <si>
    <t>RED Interior</t>
  </si>
  <si>
    <t>PRODUCCIËN</t>
  </si>
  <si>
    <t>0</t>
  </si>
  <si>
    <t>Filtro Autolimpiante</t>
  </si>
  <si>
    <t>Descalcificador</t>
  </si>
  <si>
    <t>Dep«sito Auxiliares</t>
  </si>
  <si>
    <t>Dep«sito Membrana</t>
  </si>
  <si>
    <t>ACS</t>
  </si>
  <si>
    <t>09047</t>
  </si>
  <si>
    <t>Partida</t>
  </si>
  <si>
    <t>u</t>
  </si>
  <si>
    <t>Vßlvula de esfera 2 1/4" (63 mm)</t>
  </si>
  <si>
    <t>Vßlvula de esfera de lat«n niquelado para roscar de 2 1/4". Se medirß el n·mero de unidades realmente ejecutadas seg·n especificaciones de Proyecto.</t>
  </si>
  <si>
    <t>Uds.</t>
  </si>
  <si>
    <t>Largo</t>
  </si>
  <si>
    <t>Ancho</t>
  </si>
  <si>
    <t>Alto</t>
  </si>
  <si>
    <t>Parcial</t>
  </si>
  <si>
    <t>Subtotal</t>
  </si>
  <si>
    <t>Red Interior</t>
  </si>
  <si>
    <t>09052B</t>
  </si>
  <si>
    <t>Partida</t>
  </si>
  <si>
    <t>u</t>
  </si>
  <si>
    <t>Vßlvula de retenci«n 3/4" (20 mm)</t>
  </si>
  <si>
    <t>Vßlvula de retenci«n de lat«n para roscar de 3/4". Se medirß el n·mero de unidades realmente ejecutadas seg·n especificaciones de Proyecto.</t>
  </si>
  <si>
    <t>Uds.</t>
  </si>
  <si>
    <t>Largo</t>
  </si>
  <si>
    <t>Ancho</t>
  </si>
  <si>
    <t>Alto</t>
  </si>
  <si>
    <t>Parcial</t>
  </si>
  <si>
    <t>Subtotal</t>
  </si>
  <si>
    <t>Producci«n Aerotermias</t>
  </si>
  <si>
    <t>09053A</t>
  </si>
  <si>
    <t>Partida</t>
  </si>
  <si>
    <t>u</t>
  </si>
  <si>
    <t>Vßlvula de retenci«n 1" (25 mm)</t>
  </si>
  <si>
    <t>Vßlvula de retenci«n de lat«n para roscar de 1". Se medirß el n·mero de unidades realmente ejecutadas seg·n especificaciones de Proyecto.</t>
  </si>
  <si>
    <t>Uds.</t>
  </si>
  <si>
    <t>Largo</t>
  </si>
  <si>
    <t>Ancho</t>
  </si>
  <si>
    <t>Alto</t>
  </si>
  <si>
    <t>Parcial</t>
  </si>
  <si>
    <t>Subtotal</t>
  </si>
  <si>
    <t>Producci«n Aerotermias</t>
  </si>
  <si>
    <t>RED Interior</t>
  </si>
  <si>
    <t>09053B</t>
  </si>
  <si>
    <t>Partida</t>
  </si>
  <si>
    <t>u</t>
  </si>
  <si>
    <t>Vßlvula de retenci«n 1 1/2" (40 mm)</t>
  </si>
  <si>
    <t>Vßlvula de retenci«n de lat«n para roscar de 1 1/2". Se medirß el n·mero de unidades realmente ejecutadas seg·n especificaciones de Proyecto.</t>
  </si>
  <si>
    <t>Uds.</t>
  </si>
  <si>
    <t>Largo</t>
  </si>
  <si>
    <t>Ancho</t>
  </si>
  <si>
    <t>Alto</t>
  </si>
  <si>
    <t>Parcial</t>
  </si>
  <si>
    <t>Subtotal</t>
  </si>
  <si>
    <t>Recirculaci«</t>
  </si>
  <si>
    <t>09054</t>
  </si>
  <si>
    <t>Partida</t>
  </si>
  <si>
    <t>u</t>
  </si>
  <si>
    <t>Vßlvula de retenci«n 2" (50 mm)</t>
  </si>
  <si>
    <t>Vßlvula de retenci«n de lat«n para roscar de 2". Se medirß el n·mero de unidades realmente ejecutadas seg·n especificaciones de Proyecto.</t>
  </si>
  <si>
    <t>Uds.</t>
  </si>
  <si>
    <t>Largo</t>
  </si>
  <si>
    <t>Ancho</t>
  </si>
  <si>
    <t>Alto</t>
  </si>
  <si>
    <t>Parcial</t>
  </si>
  <si>
    <t>Subtotal</t>
  </si>
  <si>
    <t>Producci«n</t>
  </si>
  <si>
    <t>09073</t>
  </si>
  <si>
    <t>Partida</t>
  </si>
  <si>
    <t>u</t>
  </si>
  <si>
    <t>Llave de paso con grifo de vaciado 3/4"</t>
  </si>
  <si>
    <t>Llave de paso con grifo de vaciado colocada en canalizaci«n de 3/4" (15/20 mm) de dißmetro, incluso peque±o material; construida seg·n CTE/DB-HS-4, e instrucciones del fabricante. Se medirß la unidad realmente ejecutada.</t>
  </si>
  <si>
    <t>Uds.</t>
  </si>
  <si>
    <t>Largo</t>
  </si>
  <si>
    <t>Ancho</t>
  </si>
  <si>
    <t>Alto</t>
  </si>
  <si>
    <t>Parcial</t>
  </si>
  <si>
    <t>Subtotal</t>
  </si>
  <si>
    <t>Dep«sitos</t>
  </si>
  <si>
    <t>Dep«sito Membrana</t>
  </si>
  <si>
    <t>Aerotermos</t>
  </si>
  <si>
    <t>09061</t>
  </si>
  <si>
    <t>Partida</t>
  </si>
  <si>
    <t>u</t>
  </si>
  <si>
    <t>Vßlvula mezcladora termostßtica de 3 vØas PRESTO, de 1 1/4"</t>
  </si>
  <si>
    <t>Vßlvula termostßtica PRESTO 425IF . Se medirß el n·mero de unidades realmente ejecutadas seg·n especificaciones de Proyecto.</t>
  </si>
  <si>
    <t>Uds.</t>
  </si>
  <si>
    <t>Largo</t>
  </si>
  <si>
    <t>Ancho</t>
  </si>
  <si>
    <t>Alto</t>
  </si>
  <si>
    <t>Parcial</t>
  </si>
  <si>
    <t>Subtotal</t>
  </si>
  <si>
    <t>Duchas</t>
  </si>
  <si>
    <t>09061B</t>
  </si>
  <si>
    <t>Partida</t>
  </si>
  <si>
    <t>u</t>
  </si>
  <si>
    <t>Vßlvula mezcladora termostßtica de 3 vØas ULTRAMIX, de 1 1/4"</t>
  </si>
  <si>
    <t>Vßlvula termostßtica ULTRAMIX TX91E . Se medirß el n·mero de unidades realmente ejecutadas seg·n especificaciones de Proyecto.</t>
  </si>
  <si>
    <t>Uds.</t>
  </si>
  <si>
    <t>Largo</t>
  </si>
  <si>
    <t>Ancho</t>
  </si>
  <si>
    <t>Alto</t>
  </si>
  <si>
    <t>Parcial</t>
  </si>
  <si>
    <t>Subtotal</t>
  </si>
  <si>
    <t>Adaptados</t>
  </si>
  <si>
    <t>09058</t>
  </si>
  <si>
    <t>Partida</t>
  </si>
  <si>
    <t>u</t>
  </si>
  <si>
    <t>Vßlvula limitadora de presi«n 1 1/2" (40 mm)</t>
  </si>
  <si>
    <t>Vßlvula limitadora de presi«n de lat«n, de 1 1/2" DN 40 mm de dißmetro, presi«n mßxima de entrada de 15 bar. Se medirß el n·mero de unidades realmente ejecutadas seg·n especificaciones de Proyecto.</t>
  </si>
  <si>
    <t>Uds.</t>
  </si>
  <si>
    <t>Largo</t>
  </si>
  <si>
    <t>Ancho</t>
  </si>
  <si>
    <t>Alto</t>
  </si>
  <si>
    <t>Parcial</t>
  </si>
  <si>
    <t>Subtotal</t>
  </si>
  <si>
    <t>Aerotermos</t>
  </si>
  <si>
    <t>095326</t>
  </si>
  <si>
    <t>Partida</t>
  </si>
  <si>
    <t>u</t>
  </si>
  <si>
    <t>Vßlvula reguladora de caudal 1 1/2"</t>
  </si>
  <si>
    <t>Vßlvula de reglaci«n de caudal de 1 1/2". Se medirß el n·mero de unidades realmente ejecutadas seg·n especificaciones de Proyecto.</t>
  </si>
  <si>
    <t>Uds.</t>
  </si>
  <si>
    <t>Largo</t>
  </si>
  <si>
    <t>Ancho</t>
  </si>
  <si>
    <t>Alto</t>
  </si>
  <si>
    <t>Parcial</t>
  </si>
  <si>
    <t>Subtotal</t>
  </si>
  <si>
    <t>Aerotermos</t>
  </si>
  <si>
    <t>09067</t>
  </si>
  <si>
    <t>Partida</t>
  </si>
  <si>
    <t>u</t>
  </si>
  <si>
    <t>Filtro de cartucho contenedor de carb«n activo i/llaves de paso</t>
  </si>
  <si>
    <t>Filtro de cartucho contenedor de carb«n activo, rosca de 1 1/4", caudal de 0,4 m¦/h, con dos llaves de paso de esfera. Se medirß el n·mero de unidades realmente ejecutadas seg·n especificaciones de Proyecto.</t>
  </si>
  <si>
    <t>Uds.</t>
  </si>
  <si>
    <t>Largo</t>
  </si>
  <si>
    <t>Ancho</t>
  </si>
  <si>
    <t>Alto</t>
  </si>
  <si>
    <t>Parcial</t>
  </si>
  <si>
    <t>Subtotal</t>
  </si>
  <si>
    <t>09070</t>
  </si>
  <si>
    <t>Partida</t>
  </si>
  <si>
    <t>u</t>
  </si>
  <si>
    <t>Vßlvula de equilibrado estßtico 3/4"</t>
  </si>
  <si>
    <t>Vßlvula de equilibrado estßtico, campo de regulaci«n de 0,13 a 5,9 m¦/h, con cuerpo de bronce, tomas para medici«n de presi«n, volante con 40 posiciones de ajuste, vßlvula de purga, conexiones roscadas hembra de 3/4" de dißmetro y temperatura mßxima de 110_C. Se medirß el n·mero de unidades realmente ejecutadas seg·n especificaciones de Proyecto.</t>
  </si>
  <si>
    <t>Uds.</t>
  </si>
  <si>
    <t>Largo</t>
  </si>
  <si>
    <t>Ancho</t>
  </si>
  <si>
    <t>Alto</t>
  </si>
  <si>
    <t>Parcial</t>
  </si>
  <si>
    <t>Subtotal</t>
  </si>
  <si>
    <t>Aerotermias</t>
  </si>
  <si>
    <t>Recirculaci«</t>
  </si>
  <si>
    <t>05.03.04</t>
  </si>
  <si>
    <t>Partida</t>
  </si>
  <si>
    <t>u</t>
  </si>
  <si>
    <t>Man«metro de esfera, con escala de 0 a 10 kg/m2</t>
  </si>
  <si>
    <t>Man«metro de esfera con escala de 0 a 10 kg/cm2, toma vertical para montaje roscado DN15(1/2"), con tubo de cobre diam. 13/15 de conexionado con tuberia a medir y juego de accesorios, para medir la temperatura de lØquidos. Incluso peque±o material y montaje.medida la unidad ejecutada.</t>
  </si>
  <si>
    <t>Uds.</t>
  </si>
  <si>
    <t>Largo</t>
  </si>
  <si>
    <t>Ancho</t>
  </si>
  <si>
    <t>Alto</t>
  </si>
  <si>
    <t>Parcial</t>
  </si>
  <si>
    <t>Subtotal</t>
  </si>
  <si>
    <t>05.03.05</t>
  </si>
  <si>
    <t>Partida</t>
  </si>
  <si>
    <t>u</t>
  </si>
  <si>
    <t>Term«metro °100 de bulbo y capilar 0-120_c, toma vertical</t>
  </si>
  <si>
    <t>Term«metro °100 con bulbo y capilar 0-120_c, toma vertical con soporte triangular para montaje roscado DN15(1/2"), con tubo de cobre diam.13/15 de conexionado con tuberia a medir y juego de accesorios, para medir la temperatura de lØquidos. Incluso peque±o material y montaje
Medida la unidad ejecutada.
Marca/modelo: S.ESCODA seg·n especificaciones de proyecto o equivalente aprobado por la D.F.</t>
  </si>
  <si>
    <t>Uds.</t>
  </si>
  <si>
    <t>Largo</t>
  </si>
  <si>
    <t>Ancho</t>
  </si>
  <si>
    <t>Alto</t>
  </si>
  <si>
    <t>Parcial</t>
  </si>
  <si>
    <t>Subtotal</t>
  </si>
  <si>
    <t>Colector</t>
  </si>
  <si>
    <t>RO1</t>
  </si>
  <si>
    <t>Partida</t>
  </si>
  <si>
    <t>u</t>
  </si>
  <si>
    <t>Term«metro digital Mundocontrol FN-49</t>
  </si>
  <si>
    <t>Term«metro digital mundocontrol fn-49 con escala -40 a 150_c, resoluci«n 1_c, alimentaci«n a 230v, montaje en superficie, sonda ptc (incluida). Incluso peque±o material y montaje
Medida la unidad ejecutada.
Marca/modelo: S.ESCODA o equivalente aprobado por la D.F.</t>
  </si>
  <si>
    <t>Uds.</t>
  </si>
  <si>
    <t>Largo</t>
  </si>
  <si>
    <t>Ancho</t>
  </si>
  <si>
    <t>Alto</t>
  </si>
  <si>
    <t>Parcial</t>
  </si>
  <si>
    <t>Subtotal</t>
  </si>
  <si>
    <t>ACS</t>
  </si>
  <si>
    <t>Recirculaci«</t>
  </si>
  <si>
    <t>009.4</t>
  </si>
  <si>
    <t>Partida</t>
  </si>
  <si>
    <t>u</t>
  </si>
  <si>
    <t>Filtro auto limpiante semiautomßtico de Klinwass de 1 1/4"</t>
  </si>
  <si>
    <t>Filtro auto limpiante semiautomßtico de Klinwass de 1 1/4", incluso valvulerØa y peque±o material seg·n especificaciones de proyecto. Medida la unidad totalmente ejecutada.</t>
  </si>
  <si>
    <t>Uds.</t>
  </si>
  <si>
    <t>Largo</t>
  </si>
  <si>
    <t>Ancho</t>
  </si>
  <si>
    <t>Alto</t>
  </si>
  <si>
    <t>Parcial</t>
  </si>
  <si>
    <t>Subtotal</t>
  </si>
  <si>
    <t>C009.3</t>
  </si>
  <si>
    <t>C009.4</t>
  </si>
  <si>
    <t>Capítulo</t>
  </si>
  <si>
    <t>GriferØa y aparatos</t>
  </si>
  <si>
    <t>09401A</t>
  </si>
  <si>
    <t>Partida</t>
  </si>
  <si>
    <t>u</t>
  </si>
  <si>
    <t>Lavabo de encimera "Mediclinics SNR036CS"</t>
  </si>
  <si>
    <t>Lavabo de encimera Mediclinics SNR036CS, instalado sobre encimera (no incluida), con desag³e klic-klac de acabado cromado, incluso juego de fijaci«n, kit rebosadero y silicona para sellado de juntas. El precio no incluye la encimera ni la griferØa. Se medirß el n·mero de unidades realmente ejecutadas seg·n especificaciones de Proyecto.</t>
  </si>
  <si>
    <t>Uds.</t>
  </si>
  <si>
    <t>Largo</t>
  </si>
  <si>
    <t>Ancho</t>
  </si>
  <si>
    <t>Alto</t>
  </si>
  <si>
    <t>Parcial</t>
  </si>
  <si>
    <t>Subtotal</t>
  </si>
  <si>
    <t>Vest Fem</t>
  </si>
  <si>
    <t>Vest Masc</t>
  </si>
  <si>
    <t>Adapt</t>
  </si>
  <si>
    <t>09402B</t>
  </si>
  <si>
    <t>Partida</t>
  </si>
  <si>
    <t>u</t>
  </si>
  <si>
    <t>Inodoro "Roca Victoria" para fluxor</t>
  </si>
  <si>
    <t>Inodoro Roca Victoria en porcelana con salida vertical u horizontal, color blanco, para fluxor, Ref.. A344397000, blanco, dimensiones 355x485 mm, incluso tapa y asiento color blanco Supralit Ref. A801B6600B con las bisagras de acero inoxidable, elementos de fijaci«n y silicona para sellado de juntas. Se medirß el n·mero de unidades realmente ejecutadas seg·n especificaciones de Proyecto.</t>
  </si>
  <si>
    <t>Uds.</t>
  </si>
  <si>
    <t>Largo</t>
  </si>
  <si>
    <t>Ancho</t>
  </si>
  <si>
    <t>Alto</t>
  </si>
  <si>
    <t>Parcial</t>
  </si>
  <si>
    <t>Subtotal</t>
  </si>
  <si>
    <t>Vest Fem</t>
  </si>
  <si>
    <t>Vest Masc</t>
  </si>
  <si>
    <t>09402AD</t>
  </si>
  <si>
    <t>Partida</t>
  </si>
  <si>
    <t>u</t>
  </si>
  <si>
    <t>Inodoro "Roca Access" tanque bajo adaptado</t>
  </si>
  <si>
    <t>Inodoro tanque bajo en porcelana, color blanco, Ref.. A346237000, blanco, dimensiones 360x7005 mm, incluso tapa y asiento color blanco Supralit Ref. A80123A004, elementos de fijaci«n y silicona para sellado de juntas. Se medirß el n·mero de unidades realmente ejecutadas seg·n especificaciones de Proyecto.</t>
  </si>
  <si>
    <t>Uds.</t>
  </si>
  <si>
    <t>Largo</t>
  </si>
  <si>
    <t>Ancho</t>
  </si>
  <si>
    <t>Alto</t>
  </si>
  <si>
    <t>Parcial</t>
  </si>
  <si>
    <t>Subtotal</t>
  </si>
  <si>
    <t>Adapt</t>
  </si>
  <si>
    <t>09403</t>
  </si>
  <si>
    <t>Partida</t>
  </si>
  <si>
    <t>u</t>
  </si>
  <si>
    <t>Urinario "Roca Chic"</t>
  </si>
  <si>
    <t>Urinario Roca Chic 22x22 cm, toma de agua exterior vertical, blanco, con manguito, tap«n de limpieza, elementos de fijaci«n y silicona para sellado de juntas. Se medirß el n·mero de unidades realmente ejecutadas seg·n especificaciones de Proyecto.</t>
  </si>
  <si>
    <t>Uds.</t>
  </si>
  <si>
    <t>Largo</t>
  </si>
  <si>
    <t>Ancho</t>
  </si>
  <si>
    <t>Alto</t>
  </si>
  <si>
    <t>Parcial</t>
  </si>
  <si>
    <t>Subtotal</t>
  </si>
  <si>
    <t>Vest Masc</t>
  </si>
  <si>
    <t>09423</t>
  </si>
  <si>
    <t>Partida</t>
  </si>
  <si>
    <t>u</t>
  </si>
  <si>
    <t>PRESTO 65 Conjunto Ducha Con Rociador Antivandßlico</t>
  </si>
  <si>
    <t>Conjunto de Grifo temporizado de un agua para instalaci«n mural con cuerpo y rociador antivandßlico de lat«n cromado., PRESTO 65 CONJUNTO, Ref. 65040PR "PRESTO IB_RICA". Se medirß el n·mero de unidades realmente ejecutadas seg·n especificaciones de Proyecto.</t>
  </si>
  <si>
    <t>Uds.</t>
  </si>
  <si>
    <t>Largo</t>
  </si>
  <si>
    <t>Ancho</t>
  </si>
  <si>
    <t>Alto</t>
  </si>
  <si>
    <t>Parcial</t>
  </si>
  <si>
    <t>Subtotal</t>
  </si>
  <si>
    <t>Vest Fem</t>
  </si>
  <si>
    <t>Vest Masc</t>
  </si>
  <si>
    <t>09424</t>
  </si>
  <si>
    <t>Partida</t>
  </si>
  <si>
    <t>u</t>
  </si>
  <si>
    <t>Rociador antivandßlico ducha "Presto"</t>
  </si>
  <si>
    <t>Rociador antivandßlico ducha "Presto", Ref. 29305. Se medirß el n·mero de unidades realmente ejecutadas seg·n especificaciones de Proyecto. Se medirß el n·mero de unidades realmente ejecutadas seg·n especificaciones de Proyecto.</t>
  </si>
  <si>
    <t>Uds.</t>
  </si>
  <si>
    <t>Largo</t>
  </si>
  <si>
    <t>Ancho</t>
  </si>
  <si>
    <t>Alto</t>
  </si>
  <si>
    <t>Parcial</t>
  </si>
  <si>
    <t>Subtotal</t>
  </si>
  <si>
    <t>Adapt</t>
  </si>
  <si>
    <t>09420</t>
  </si>
  <si>
    <t>Partida</t>
  </si>
  <si>
    <t>u</t>
  </si>
  <si>
    <t>GriferØa temporizada lavabo "Presto 105 ECO L" AFS</t>
  </si>
  <si>
    <t>GriferØa temporizada, de repisa, serie Presto 105 ECO L, Ref. 10900 "PRESTO IB_RICA", para lavabo, acabado cromado, aireador, con tiempo de flujo de 15 segundos, caudal de 6 l/min; incluso elementos de conexi«n, enlaces de alimentaci«n flexibles de 1/2" de dißmetro y 350 mm de longitud, vßlvulas antirretorno y dos llaves de paso. Se medirß el n·mero de unidades realmente ejecutadas seg·n especificaciones de Proyecto.</t>
  </si>
  <si>
    <t>Uds.</t>
  </si>
  <si>
    <t>Largo</t>
  </si>
  <si>
    <t>Ancho</t>
  </si>
  <si>
    <t>Alto</t>
  </si>
  <si>
    <t>Parcial</t>
  </si>
  <si>
    <t>Subtotal</t>
  </si>
  <si>
    <t>Vest Fem</t>
  </si>
  <si>
    <t>Vest Mas</t>
  </si>
  <si>
    <t>09421A</t>
  </si>
  <si>
    <t>Partida</t>
  </si>
  <si>
    <t>u</t>
  </si>
  <si>
    <t>GriferØa temporizada lavabo "Presto 605 Palanca ECO" AFS</t>
  </si>
  <si>
    <t>GriferØa temporizada, de repisa, serie Presto 605 Palanca ECO, Ref. 10661 "PRESTO IB_RICA", para lavabo, acabado cromado, aireador, con tiempo de flujo de 10 segundos, caudal de 2 l/min; incluso elementos de conexi«n, enlaces de alimentaci«n flexibles de 1/2" de dißmetro y 350 mm de longitud, vßlvulas antirretorno y dos llaves de paso. Se medirß el n·mero de unidades realmente ejecutadas seg·n especificaciones de Proyecto.</t>
  </si>
  <si>
    <t>Uds.</t>
  </si>
  <si>
    <t>Largo</t>
  </si>
  <si>
    <t>Ancho</t>
  </si>
  <si>
    <t>Alto</t>
  </si>
  <si>
    <t>Parcial</t>
  </si>
  <si>
    <t>Subtotal</t>
  </si>
  <si>
    <t>Adapt</t>
  </si>
  <si>
    <t>09422</t>
  </si>
  <si>
    <t>Partida</t>
  </si>
  <si>
    <t>u</t>
  </si>
  <si>
    <t>GriferØa temporizada urinario "Presto 12A ECO"</t>
  </si>
  <si>
    <t>GriferØa temporizada, instalaci«n vista formada por grifo de paso angular mural para urinario, serie Presto 12 A Eco, modelo PN Eco 10706 "PRESTO IB_RICA" y elementos de conexi«n.</t>
  </si>
  <si>
    <t>Uds.</t>
  </si>
  <si>
    <t>Largo</t>
  </si>
  <si>
    <t>Ancho</t>
  </si>
  <si>
    <t>Alto</t>
  </si>
  <si>
    <t>Parcial</t>
  </si>
  <si>
    <t>Subtotal</t>
  </si>
  <si>
    <t>Urinario</t>
  </si>
  <si>
    <t>09425</t>
  </si>
  <si>
    <t>Partida</t>
  </si>
  <si>
    <t>u</t>
  </si>
  <si>
    <t>GriferØa temporizada "Presto 712" Palanca</t>
  </si>
  <si>
    <t>GriferØa temporizada Presto 712, Ref. 31686, de un agua para instalaci«n mural, cierre automßtico 15s (+-5s), con rompeaguas, apertura con palanca con r«tula, caudal regulable por instalador, en lat«n cromado. Se medirß el n·mero de unidades realmente ejecutadas seg·n especificaciones de Proyecto.</t>
  </si>
  <si>
    <t>Uds.</t>
  </si>
  <si>
    <t>Largo</t>
  </si>
  <si>
    <t>Ancho</t>
  </si>
  <si>
    <t>Alto</t>
  </si>
  <si>
    <t>Parcial</t>
  </si>
  <si>
    <t>Subtotal</t>
  </si>
  <si>
    <t>Adapt</t>
  </si>
  <si>
    <t>09426</t>
  </si>
  <si>
    <t>Partida</t>
  </si>
  <si>
    <t>u</t>
  </si>
  <si>
    <t>GriferØa temporizada inodoro "Presto 1000 C ECO"</t>
  </si>
  <si>
    <t>GriferØa temporizada, instalaci«n vista formada por fluxor para inodoro, de lat«n cromado, serie 1000 C Eco, modelo 15002 "PRESTO IB_RICA" y elementos de conexi«n. Se medirß el n·mero de unidades realmente ejecutadas seg·n especificaciones de Proyecto.</t>
  </si>
  <si>
    <t>Uds.</t>
  </si>
  <si>
    <t>Largo</t>
  </si>
  <si>
    <t>Ancho</t>
  </si>
  <si>
    <t>Alto</t>
  </si>
  <si>
    <t>Parcial</t>
  </si>
  <si>
    <t>Subtotal</t>
  </si>
  <si>
    <t>Adapt</t>
  </si>
  <si>
    <t>09404</t>
  </si>
  <si>
    <t>Partida</t>
  </si>
  <si>
    <t>u</t>
  </si>
  <si>
    <t>Pileta vertedero "Roca Garda" con grifo mural simple</t>
  </si>
  <si>
    <t>Vertedero de porcelana sanitaria, de pie, modelo Garda "ROCA", color Blanco, de 420x500x445 mm, de 420x500x445 mm, de salida horizontal, con pieza de uni«n, rejilla de desag³e y juego de fijaci«n, con rejilla de acero inoxidable, con almohadilla, para vertedero modelo Garda, equipado con grifo mural, para lavadero, de ca±o fijo, acabado cromado, modelo Brava. Incluso silicona para sellado de juntas. Se medirß el n·mero de unidades realmente ejecutadas seg·n especificaciones de Proyecto.</t>
  </si>
  <si>
    <t>Uds.</t>
  </si>
  <si>
    <t>Largo</t>
  </si>
  <si>
    <t>Ancho</t>
  </si>
  <si>
    <t>Alto</t>
  </si>
  <si>
    <t>Parcial</t>
  </si>
  <si>
    <t>Subtotal</t>
  </si>
  <si>
    <t>Limpieza</t>
  </si>
  <si>
    <t>09406</t>
  </si>
  <si>
    <t>Partida</t>
  </si>
  <si>
    <t>u</t>
  </si>
  <si>
    <t>Barra sujeci«n minusvßlidos para inodoro</t>
  </si>
  <si>
    <t>Barra de sujeci«n para minusvßlidos, rehabilitaci«n y tercera edad, para inodoro, colocada en pared, abatible, con forma de U, de acero inoxidable AISI 304 acabado mate, de dimensiones totales 790x130 mm con tubo de 33 mm de dißmetro exterior y 1,5 mm de espesor, con portarrollos de papel higiÚnico. Incluso elementos de fijaci«n. Se medirß el n·mero de unidades realmente ejecutadas seg·n especificaciones de Proyecto.</t>
  </si>
  <si>
    <t>Uds.</t>
  </si>
  <si>
    <t>Largo</t>
  </si>
  <si>
    <t>Ancho</t>
  </si>
  <si>
    <t>Alto</t>
  </si>
  <si>
    <t>Parcial</t>
  </si>
  <si>
    <t>Subtotal</t>
  </si>
  <si>
    <t>Adapt</t>
  </si>
  <si>
    <t>09407</t>
  </si>
  <si>
    <t>Partida</t>
  </si>
  <si>
    <t>u</t>
  </si>
  <si>
    <t>Asiento minusvßlidos para ducha</t>
  </si>
  <si>
    <t>Asiento para minusvßlidos, rehabilitaci«n y tercera edad, colocado en pared, abatible, de acero inoxidable AISI 304 acabado mate, de dimensiones totales 425x430 mm. Incluso elementos de fijaci«n. Se medirß el n·mero de unidades realmente ejecutadas seg·n especificaciones de Proyecto.</t>
  </si>
  <si>
    <t>Uds.</t>
  </si>
  <si>
    <t>Largo</t>
  </si>
  <si>
    <t>Ancho</t>
  </si>
  <si>
    <t>Alto</t>
  </si>
  <si>
    <t>Parcial</t>
  </si>
  <si>
    <t>Subtotal</t>
  </si>
  <si>
    <t>Adapt</t>
  </si>
  <si>
    <t>09408</t>
  </si>
  <si>
    <t>Partida</t>
  </si>
  <si>
    <t>u</t>
  </si>
  <si>
    <t>Pasamanos minusvßlidos para ducha</t>
  </si>
  <si>
    <t>Pasamanos para minusvßlidos, rehabilitaci«n y tercera edad, compuesto por pasamanos horizontal y vertical, colocado en pared, de aluminio y nylon, de 35 mm de dißmetro. Incluso elementos de fijaci«n. Se medirß el n·mero de unidades realmente ejecutadas seg·n especificaciones de Proyecto.</t>
  </si>
  <si>
    <t>Uds.</t>
  </si>
  <si>
    <t>Largo</t>
  </si>
  <si>
    <t>Ancho</t>
  </si>
  <si>
    <t>Alto</t>
  </si>
  <si>
    <t>Parcial</t>
  </si>
  <si>
    <t>Subtotal</t>
  </si>
  <si>
    <t>Adapt</t>
  </si>
  <si>
    <t>09411</t>
  </si>
  <si>
    <t>Partida</t>
  </si>
  <si>
    <t>ud</t>
  </si>
  <si>
    <t>Secamanos</t>
  </si>
  <si>
    <t>Colocaci«n de secamanos suministrado por la propiedad. Medida la unidad totalmente colocada y funcionando.</t>
  </si>
  <si>
    <t>Uds.</t>
  </si>
  <si>
    <t>Largo</t>
  </si>
  <si>
    <t>Ancho</t>
  </si>
  <si>
    <t>Alto</t>
  </si>
  <si>
    <t>Parcial</t>
  </si>
  <si>
    <t>Subtotal</t>
  </si>
  <si>
    <t>Vest Fem</t>
  </si>
  <si>
    <t>Vest Masc</t>
  </si>
  <si>
    <t>09465</t>
  </si>
  <si>
    <t>Partida</t>
  </si>
  <si>
    <t>u</t>
  </si>
  <si>
    <t>Kit de alarma para minusvßlidos</t>
  </si>
  <si>
    <t>Sistema de alarma para munusvßlidos, compuesto por  por: kit wc accesible , caja superficie para el control de alarma del kit wc accesible  y 2 ud caja superficie para pulsador reset y piloto luminoso del kit wc accesible tipo KSLBM-4 de GOLMAR.  Medida la unidad instalada</t>
  </si>
  <si>
    <t>Uds.</t>
  </si>
  <si>
    <t>Largo</t>
  </si>
  <si>
    <t>Ancho</t>
  </si>
  <si>
    <t>Alto</t>
  </si>
  <si>
    <t>Parcial</t>
  </si>
  <si>
    <t>Subtotal</t>
  </si>
  <si>
    <t>Adapt</t>
  </si>
  <si>
    <t>09405C</t>
  </si>
  <si>
    <t>Partida</t>
  </si>
  <si>
    <t>u</t>
  </si>
  <si>
    <t>Fuente de agua refrigerada MEDICLINICS modelo FA0025C</t>
  </si>
  <si>
    <t>Fuente de agua frØa MEDICLINICS modelo FA0025C, de suelo, de 1230x325x340 mm, caudal de agua 30 litros/h, temperatura de salida del agua 8-12_C, regulable por termostato interior, con carcasa de acero inoxidable AISI 304, grifo rellena vasos y grifo surtidor con regulaci«n de la altura de chorro, conexi«n rßpida de 8 mm, desag³e de 22 mm de dißmetro, alimentaci«n monofßsica a 230 V, potencia total 180 kW. Se medirß el n·mero de unidades realmente ejecutadas seg·n especificaciones de Proyecto.</t>
  </si>
  <si>
    <t>Uds.</t>
  </si>
  <si>
    <t>Largo</t>
  </si>
  <si>
    <t>Ancho</t>
  </si>
  <si>
    <t>Alto</t>
  </si>
  <si>
    <t>Parcial</t>
  </si>
  <si>
    <t>Subtotal</t>
  </si>
  <si>
    <t>Fuente</t>
  </si>
  <si>
    <t>C009.4</t>
  </si>
  <si>
    <t>SG09</t>
  </si>
  <si>
    <t>SG11</t>
  </si>
  <si>
    <t>Capítulo</t>
  </si>
  <si>
    <t>Instalaci«n de climatizaci«n y ventilaci«n</t>
  </si>
  <si>
    <t>C11.1</t>
  </si>
  <si>
    <t>Capítulo</t>
  </si>
  <si>
    <t>Equipos y conexiones</t>
  </si>
  <si>
    <t>11000A</t>
  </si>
  <si>
    <t>Partida</t>
  </si>
  <si>
    <t>u</t>
  </si>
  <si>
    <t>Certificaci«n de instalaci«n de climatizaci«n</t>
  </si>
  <si>
    <t>Certificaci«n de la instalaci«n de climatizaci«n y ventilaci«n, incluyendo preparaci«n, y tramitaci«n, hasta buen fin y ante los orgamismos competentes de boletines, proyectos actualizados con las modificaciones que surgieran durante la obra y cualquier otra documentaci«n que fuera necesaria. Incluso presentaci«n al cliente de planos en soporte DWG.</t>
  </si>
  <si>
    <t>Uds.</t>
  </si>
  <si>
    <t>Largo</t>
  </si>
  <si>
    <t>Ancho</t>
  </si>
  <si>
    <t>Alto</t>
  </si>
  <si>
    <t>Parcial</t>
  </si>
  <si>
    <t>Subtotal</t>
  </si>
  <si>
    <t>1114000350</t>
  </si>
  <si>
    <t>Partida</t>
  </si>
  <si>
    <t>u</t>
  </si>
  <si>
    <t>Ventilador helicocentrØgugo "S&amp;P TD-4000/350 MIXVENT"</t>
  </si>
  <si>
    <t>Ventilador helicocentrØfugos de bajo perfil S&amp;P TD-4000/350 MIXVENT. El cuerpo-motor es desmontable sin necesidad de tocar los conductos. Fabricado en chapa de acero galvanizada protegida con pintura epoxi-poliÚster anticorrosiva. IP54, Clase F, con rodamientos a bolas de engrase permanente y protector tÚrmico. Tensi«n de alimentaci«n:Monofßsicos 230V-50/60Hz, regulables por variaci«n de tensi«n. Juntas de goma en impulsi«n y descarga para reforzar la estanqueidad.
Filtros F5+F6
Capacitados para trabajar de -20 a +40_C y parte proporcional de medios de elevaci«n (elementos auxiliares, gr·a, etc) si fuesen necesarios seg·n condicionantes del proyecto y ubicaci«n del equipo y amortiguadores tipo AMC mecanocaucho ST+Sylomer ST-60, en mØnimo 6 puntos de anclaje</t>
  </si>
  <si>
    <t>Uds.</t>
  </si>
  <si>
    <t>Largo</t>
  </si>
  <si>
    <t>Ancho</t>
  </si>
  <si>
    <t>Alto</t>
  </si>
  <si>
    <t>Parcial</t>
  </si>
  <si>
    <t>Subtotal</t>
  </si>
  <si>
    <t>Aportaci«n Ba±os</t>
  </si>
  <si>
    <t>Extracci«n Ba±os</t>
  </si>
  <si>
    <t>FV123</t>
  </si>
  <si>
    <t>Partida</t>
  </si>
  <si>
    <t>u</t>
  </si>
  <si>
    <t>Filtros y cajas filtrantes FBL-N</t>
  </si>
  <si>
    <t>Cajas filtrantes, suministradas sin filtro, para montar filtros AFR-N (2 como mßximo).
Aptas para montar en intemperie.
Fabricadas en chapa de acero galvanizado.
Bridas circulares con junta de estanqueidad.
Tapa de abertura fßcil, que permite el rßpido cambio de los filtros.
Caja de filtro FBL-N-45, equipado con filtros: AFR-N-450/45áF7 y AFR-N-450/45áG4</t>
  </si>
  <si>
    <t>Uds.</t>
  </si>
  <si>
    <t>Largo</t>
  </si>
  <si>
    <t>Ancho</t>
  </si>
  <si>
    <t>Alto</t>
  </si>
  <si>
    <t>Parcial</t>
  </si>
  <si>
    <t>Subtotal</t>
  </si>
  <si>
    <t>Ventilador Aportaci«n</t>
  </si>
  <si>
    <t>2</t>
  </si>
  <si>
    <t>Partida</t>
  </si>
  <si>
    <t>u</t>
  </si>
  <si>
    <t>Recuperador de calor "S&amp;P CADB/T-HE D 18 ECOWATT"</t>
  </si>
  <si>
    <t>Recuperador de calor "Soler&amp;Palau CADB/T-HE D 18", para un caudal mßximo de 1.800 m3/h, con intercambiador de placas tipo "counterflow" de alta eficiencia (hasta el 93%), certificado por Eurovent, montados en cajas de acero galvanizado plastificado de color blanco, de doble pared con aislamiento interior termoac·stico ininflamable (M0) de fibra de vidrio de 25 mmde espesor. Bocas de entrada y salida configurables, incluso filtros F5+F7 y amortiguadores tipo AMC mecanocaucho ST+Sylomer ST-60, en mØnimo 6 puntos de anclaje, si va colgado en techo y amortiguadores tipo AMC mecanocaucho AMC 60+ Base rectangular + Sylomer si va apoyado en suelo y parte proporcional de medios de elevaci«n (elementos auxiliares, gr·a, etc) si fuesen necesarios seg·n condicionantes del proyecto y ubicaci«n del equipo.. Temperatura mØnima de aire exterior: -10_C. Se medirß el n·mero de unidades realmente ejecutadas seg·n especificaciones del Proyecto.
NOTA: VALORAMOS RECUPERADOR DE CALOR DE LA CASA GISER.</t>
  </si>
  <si>
    <t>Uds.</t>
  </si>
  <si>
    <t>Largo</t>
  </si>
  <si>
    <t>Ancho</t>
  </si>
  <si>
    <t>Alto</t>
  </si>
  <si>
    <t>Parcial</t>
  </si>
  <si>
    <t>Subtotal</t>
  </si>
  <si>
    <t>Recuperador G</t>
  </si>
  <si>
    <t>3</t>
  </si>
  <si>
    <t>Partida</t>
  </si>
  <si>
    <t>u</t>
  </si>
  <si>
    <t>Recuperador de Calor "S&amp;P" CAD COMPACT 3200 ECOWATT</t>
  </si>
  <si>
    <t>Recuperador de calor "Soler&amp;Palau CADB/T-HE D 32", para un caudal mßximo de 3200 m3/h, con intercambiador de placas tipo "counterflow" de alta eficiencia (hasta el 93%), certificado por Eurovent, montados en cajas de acero galvanizado plastificado de color blanco, de doble pared con aislamiento interior termoac·stico ininflamable (M0) de fibra de vidrio de 25 mmde espesor. Bocas de entrada y salida configurables, incluso filtros F5+F7 y amortiguadores tipo AMC mecanocaucho ST+Sylomer ST-60, en mØnimo 6 puntos de anclaje, si va colgado en techo y amortiguadores tipo AMC mecanocaucho AMC 60+ Base rectangular + Sylomer si va apoyado en suelo y parte proporcional de medios de elevaci«n (elementos auxiliares, gr·a, etc) si fuesen necesarios seg·n condicionantes del proyecto y ubicaci«n del equipo.. Temperatura mØnima de aire exterior: -10_C. Se medirß el n·mero de unidades realmente ejecutadas seg·n especificaciones del Proyecto.
NOTA: VALORAMOS RECUPERADOR DE CALOR DE LA CASA GISER.</t>
  </si>
  <si>
    <t>Uds.</t>
  </si>
  <si>
    <t>Largo</t>
  </si>
  <si>
    <t>Ancho</t>
  </si>
  <si>
    <t>Alto</t>
  </si>
  <si>
    <t>Parcial</t>
  </si>
  <si>
    <t>Subtotal</t>
  </si>
  <si>
    <t>Recuperador F</t>
  </si>
  <si>
    <t>HAIERAV46NMVE</t>
  </si>
  <si>
    <t>Partida</t>
  </si>
  <si>
    <t>u</t>
  </si>
  <si>
    <t>Conjunto exterior HAIER AV46NMVETA Haier</t>
  </si>
  <si>
    <t>Unidad exterior para sistema MRV 5-H (volumen de refrigerante variable), bomba de calor con calefacci«n continua, modelo AV46NMVETA "HAIER" con certificaci«n EUROVENT, para gas R-410A, formada por los m«dulos AV22NMVETA y  AV24NMVETA, con temperatura de refrigerante variable para la mejora de la eficiencia estacional, alimentaci«n trifßsica  (380V/50Hz), potencia frigorØfica nominal 129,5 kW (temperatura de bulbo h·medo del aire interior 19_C, temperatura de bulbo seco del aire exterior 35_C), SEER 6,54, consumo elÚctrico nominal en refrigeraci«n 42,83 kW, rango de temperatura en refrigeraci«n desde -5 hasta 52_C, potencia calorØfica nominal 129,5 kW (temperatura de bulbo seco del aire interior 20_C, temperatura de bulbo h·medo del aire exterior 6_C), SCOP 4,21, consumo elÚctrico nominal en calefacci«n 38,06 kW, rango de temperatura en calefacci«n desde -27 hasta 21_C, mßximo de 64 unidades interiores con un porcentaje de capacidad mØnimo del 50% y mßximo del 130%, 4 compresores DC full inverter, dimensiones 1410x1690x750 (x2) mm, peso 385 (x2) kg, presi«n sonora 64,5 dBA, caudal de aire 36000m¦/h, longitud total mßxima de tuberØa frigorØfica 1000 m, diferencia mßxima de altura de instalaci«n 110 m, tratamiento anticorrosivo especial del intercambiador de calor, motores de ventiladores DC de alta eficiencia, condensador de aletas hidr«filas ranuradas de alta eficiencia, sensor de doble presi«n, tecnologØa de recuperaci«n automßtica del refrigerante, conexi«n automßtica de las unidades interiores, equilibrado automßtico del aceite fßcil acceso al panel de control y mantenimiento del sistema.
Medida la unidad totalmente ejecutada y conexionada, incluso amortiguadores tipo AMC mecanocaucho AMC 125+Base rectangular + Sylome si va apoyado en suelo y parte proporcional de medios de elevaci«n (elementos auxiliares, gr·a, etc) si fuesen necesarios seg·n condicionantes del proyecto y ubicaci«n del equipo.</t>
  </si>
  <si>
    <t>Uds.</t>
  </si>
  <si>
    <t>Largo</t>
  </si>
  <si>
    <t>Ancho</t>
  </si>
  <si>
    <t>Alto</t>
  </si>
  <si>
    <t>Parcial</t>
  </si>
  <si>
    <t>Subtotal</t>
  </si>
  <si>
    <t>Ud Ext</t>
  </si>
  <si>
    <t>HAIERAB162MCF</t>
  </si>
  <si>
    <t>Partida</t>
  </si>
  <si>
    <t>u</t>
  </si>
  <si>
    <t>Unidad interior cassette de 4 vØas panel mini AB162MCFRA MRV</t>
  </si>
  <si>
    <t>Unidad interior de aire acondicionado, para sistema MRV (Volumen de Refrigerante Variable), de cassette de 4 vØas panel mini, adaptable a panel modular para techo estßndar de 600x600 mm, modelo AB162MCFRA "HAIER", para gas R-410A, alimentaci«n monofßsica (230V/50Hz), potencia frigorØfica nominal 4,5 kW (temperatura de bulbo h·medo del aire interior 19_C, temperatura de bulbo seco del aire exterior 35_C), potencia calorØfica nominal 5,0 kW (temperatura de bulbo seco del aire interior 20_C, temperatura de bulbo seco del aire exterior 7_C), presi«n sonora a velocidad baja 37 dBA, caudal de aire a velocidad alta 740 m¦/h, de 575x575x260 mm (de perfil bajo), peso 14,9 kg, con ventilador de tres velocidades, bomba de drenaje,  m«dulo ON/OFF simple con contacto seco, tratamiento anti-corrosi«n de baterØas Blue-Fin, bloque de terminales F1-F2 para cable de 2 hilos de transmisi«n y control a unidad exterior, control por microprocesador, orientaci«n vertical automßtica (distribuci«n uniforme del aire), se±al de limpieza de filtro, filtro de aire de succi«n y toma de aire exterior, con posibilidad de cerrar una o dos vØas de impulsi«n para facilitar la instalaci«n en ßngulos y pasillos, panel decorativo clßsico rectangular para unidad de aire acondicionado de cassette de 4 vØas, modelo PB-620QB. Medida la unidad totalmente ejecutada, incluso conexionado, elementos auxiliares y accesorios seg·n manual de montaje.</t>
  </si>
  <si>
    <t>Uds.</t>
  </si>
  <si>
    <t>Largo</t>
  </si>
  <si>
    <t>Ancho</t>
  </si>
  <si>
    <t>Alto</t>
  </si>
  <si>
    <t>Parcial</t>
  </si>
  <si>
    <t>Subtotal</t>
  </si>
  <si>
    <t>Agility</t>
  </si>
  <si>
    <t>Speed</t>
  </si>
  <si>
    <t>HAIERAB182MNF</t>
  </si>
  <si>
    <t>Partida</t>
  </si>
  <si>
    <t>u</t>
  </si>
  <si>
    <t>Unidad interior cassette de 4 vØas panel mini AB182MNFRA MRV</t>
  </si>
  <si>
    <t>Unidad interior de aire acondicionado, para sistema MRV (Volumen de Refrigerante Variable), de cassette de 4 vØas panel mini, adaptable a panel modular para techo estßndar de 600x600 mm, modelo AB182MNFRA "HAIER", para gas R-410A, alimentaci«n monofßsica (230V/50Hz), potencia frigorØfica nominal 5,6 kW (temperatura de bulbo h·medo del aire interior 19_C, temperatura de bulbo seco del aire exterior 35_C), potencia calorØfica nominal 6,3 kW (temperatura de bulbo seco del aire interior 20_C, temperatura de bulbo seco del aire exterior 7_C), presi«n sonora a velocidad baja 34 dBA, caudal de aire a velocidad alta 1088 m¦/h, de 840x840x180 mm (de perfil bajo), peso 21 kg, con ventilador de tres velocidades, bomba de drenaje,  m«dulo ON/OFF simple con contacto seco, tratamiento anti-corrosi«n de baterØas Blue-Fin, bloque de terminales F1-F2 para cable de 2 hilos de transmisi«n y control a unidad exterior, control por microprocesador, orientaci«n vertical automßtica (distribuci«n uniforme del aire), se±al de limpieza de filtro, filtro de aire de succi«n y toma de aire exterior, con posibilidad de cerrar una o dos vØas de impulsi«n para facilitar la instalaci«n en ßngulos y pasillos, panel decorativo clßsico rectangular para unidad de aire acondicionado de cassette de 4 vØas, modelo PB-620QB. Medida la unidad totalmente ejecutada, incluso conexionado, elementos auxiliares y accesorios seg·n manual de montaje.</t>
  </si>
  <si>
    <t>Uds.</t>
  </si>
  <si>
    <t>Largo</t>
  </si>
  <si>
    <t>Ancho</t>
  </si>
  <si>
    <t>Alto</t>
  </si>
  <si>
    <t>Parcial</t>
  </si>
  <si>
    <t>Subtotal</t>
  </si>
  <si>
    <t>Strength</t>
  </si>
  <si>
    <t>Cardio</t>
  </si>
  <si>
    <t>HAIERAB242MRE</t>
  </si>
  <si>
    <t>Partida</t>
  </si>
  <si>
    <t>u</t>
  </si>
  <si>
    <t>Unidad interior cassette de 4 vØas panel mini AB242MNFRA MRV</t>
  </si>
  <si>
    <t>Unidad interior de aire acondicionado, para sistema MRV (Volumen de Refrigerante Variable), de cassette de 4 vØas panel mini, adaptable a panel modular para techo estßndar de 600x600 mm, modelo AB242MNFRA "HAIER", para gas R-410A, alimentaci«n monofßsica (230V/50Hz), potencia frigorØfica nominal 7,1 kW (temperatura de bulbo h·medo del aire interior 19_C, temperatura de bulbo seco del aire exterior 35_C), potencia calorØfica nominal 8,0 kW (temperatura de bulbo seco del aire interior 20_C, temperatura de bulbo seco del aire exterior 7_C), presi«n sonora a velocidad baja 35 dBA, caudal de aire a velocidad alta 1380 m¦/h, de 840x840x204 mm (de perfil bajo), peso 22 kg, con ventilador de tres velocidades, bomba de drenaje,  m«dulo ON/OFF simple con contacto seco, tratamiento anti-corrosi«n de baterØas Blue-Fin, bloque de terminales F1-F2 para cable de 2 hilos de transmisi«n y control a unidad exterior, control por microprocesador, orientaci«n vertical automßtica (distribuci«n uniforme del aire), se±al de limpieza de filtro, filtro de aire de succi«n y toma de aire exterior, con posibilidad de cerrar una o dos vØas de impulsi«n para facilitar la instalaci«n en ßngulos y pasillos, panel decorativo clßsico rectangular para unidad de aire acondicionado de cassette de 4 vØas, modelo PB-950QB. Medida la unidad totalmente ejecutada, incluso conexionado, elementos auxiliares y accesorios seg·n manual de montaje.</t>
  </si>
  <si>
    <t>Uds.</t>
  </si>
  <si>
    <t>Largo</t>
  </si>
  <si>
    <t>Ancho</t>
  </si>
  <si>
    <t>Alto</t>
  </si>
  <si>
    <t>Parcial</t>
  </si>
  <si>
    <t>Subtotal</t>
  </si>
  <si>
    <t>HAIERPB-620QB</t>
  </si>
  <si>
    <t>Partida</t>
  </si>
  <si>
    <t>u</t>
  </si>
  <si>
    <t>Panel decorativo Round Flow 360_ Cassette 4 vØas Haier" PB-620QB</t>
  </si>
  <si>
    <t>Unidad de panel decorativo de cassette de 4 vØas Mini 62x62 cm modelo PB-620QB-I(H), aplicable para modelos desde AB052MCFRA hasta AB242MCFRA. Medida la unidad totalmente ejecutada</t>
  </si>
  <si>
    <t>Uds.</t>
  </si>
  <si>
    <t>Largo</t>
  </si>
  <si>
    <t>Ancho</t>
  </si>
  <si>
    <t>Alto</t>
  </si>
  <si>
    <t>Parcial</t>
  </si>
  <si>
    <t>Subtotal</t>
  </si>
  <si>
    <t>HAIERPB-950KB</t>
  </si>
  <si>
    <t>Partida</t>
  </si>
  <si>
    <t>u</t>
  </si>
  <si>
    <t>Panel decorativo Round Flow 360_ Cassette 4 vØas Haier" PB-950QB</t>
  </si>
  <si>
    <t>Unidad de panel decorativo de cassette de 4 vØas Mini 92x92 cm modelo PB-950QB-I(H), aplicable para modelos desde AB0182MNFRA hasta AB602MNFRA. Medida la unidad totalmente ejecutada</t>
  </si>
  <si>
    <t>Uds.</t>
  </si>
  <si>
    <t>Largo</t>
  </si>
  <si>
    <t>Ancho</t>
  </si>
  <si>
    <t>Alto</t>
  </si>
  <si>
    <t>Parcial</t>
  </si>
  <si>
    <t>Subtotal</t>
  </si>
  <si>
    <t>HAIERAS072MFF</t>
  </si>
  <si>
    <t>Partida</t>
  </si>
  <si>
    <t>u</t>
  </si>
  <si>
    <t>Unidad interior split mural AS072MFFRA MRV Haier</t>
  </si>
  <si>
    <t>Unidad interior de aire acondicionado, para sistema MRV (Volumen de Refrigerante Variable), tipo split mural modelo AS072MFFRA "HAIER", para gas R-410A, alimentaci«n monofßsica (230V/50Hz), potencia frigorØfica nominal 2,2 kW (temperatura de bulbo h·medo del aire interior 19_C, temperatura de bulbo seco del aire exterior 35_C), potencia calorØfica nominal 2,5 kW (temperatura de bulbo seco del aire interior 20_C, temperatura de bulbo seco del aire exterior 7_C), presi«n sonora a velocidad baja 36 dBA, caudal de aire a velocidad alta 550 m¦/h, de dimensiones 855x280x208 mm, peso 9,9 kg, con ventilador de tres velocidades, m«dulo ON/OFF simple con contacto seco, tratamiento anti-corrosi«n de baterØas Blue-Fin, bloque de terminales F1-F2 para cable de 2 hilos de transmisi«n y control a unidad exterior, control por microprocesador, filtro de aire, display LED integrado, control preciso 0,5_C, ecopilot, juego de controlador remoto inalßmbrico formado por receptor y mando por infrarrojos, modelo YR-HRS01 (no incluido).
Medida la unidad totalmente ejecutada y conexionada.</t>
  </si>
  <si>
    <t>Uds.</t>
  </si>
  <si>
    <t>Largo</t>
  </si>
  <si>
    <t>Ancho</t>
  </si>
  <si>
    <t>Alto</t>
  </si>
  <si>
    <t>Parcial</t>
  </si>
  <si>
    <t>Subtotal</t>
  </si>
  <si>
    <t>Oficina</t>
  </si>
  <si>
    <t>HW-SA301AFKI</t>
  </si>
  <si>
    <t>Partida</t>
  </si>
  <si>
    <t>u</t>
  </si>
  <si>
    <t>Mando por cable Modelo HW-SA301AFK-I Haier</t>
  </si>
  <si>
    <t>Mando por cable ultraslim de Haier compatible con gama MRV R-32, modelo HW-SA301AFK.</t>
  </si>
  <si>
    <t>Uds.</t>
  </si>
  <si>
    <t>Largo</t>
  </si>
  <si>
    <t>Ancho</t>
  </si>
  <si>
    <t>Alto</t>
  </si>
  <si>
    <t>Parcial</t>
  </si>
  <si>
    <t>Subtotal</t>
  </si>
  <si>
    <t>HCSA164DBT</t>
  </si>
  <si>
    <t>Partida</t>
  </si>
  <si>
    <t>u</t>
  </si>
  <si>
    <t>Control centralizado modelo HC-SA164DBT "Haier"</t>
  </si>
  <si>
    <t>Control centralizado, para mßximo de 64 unidades interiores de aire acondicionado, con pantalla tßctil TFT LCD de 5"con luz de fondo modelo HC-SA164DBT "Haier". Funciones de control individual, control de grupo y control central. Temporizador semanal. Teclas de gran tama±o. Nombre de la unidad y nombre del grupo de libre configuraci«n. Cuatro fondos disponibles (centro comercial, hotel, oficina y hogar). Estado de informaci«n de unidades interiores. Backup de error hist«rico. Combinaci«n con una pasarela HA-MA164AD para cada sistema MRV (mßximo 32 exteriores). Compatible con equipos de Supermatch (debe utilizarse una pasarela YCJ-A002 por unidad interior). Medida la unidad totalmente ejecutada</t>
  </si>
  <si>
    <t>Uds.</t>
  </si>
  <si>
    <t>Largo</t>
  </si>
  <si>
    <t>Ancho</t>
  </si>
  <si>
    <t>Alto</t>
  </si>
  <si>
    <t>Parcial</t>
  </si>
  <si>
    <t>Subtotal</t>
  </si>
  <si>
    <t>HI-WA164DBI</t>
  </si>
  <si>
    <t>Partida</t>
  </si>
  <si>
    <t>u</t>
  </si>
  <si>
    <t>M«dulo WiFi modelo HI-WA164DBI "Haier"</t>
  </si>
  <si>
    <t>M«dulo Wi-Fi modelo HI-WA164DBI "Haier" permite controlar las distintas funciones del equipo desde la distancia, a travÚs de un smarphone o tablet. Control remoto: encendido/apagado, modo, velocidad del ventilador, ajuste de temperatura, swing. Control individual y de grupo. Integraci«n en la nube, temporizador semanal. Compatible con las serie MRV a travÚs de la app Haier AC. Medida la unidad totalmente ejecutada</t>
  </si>
  <si>
    <t>Uds.</t>
  </si>
  <si>
    <t>Largo</t>
  </si>
  <si>
    <t>Ancho</t>
  </si>
  <si>
    <t>Alto</t>
  </si>
  <si>
    <t>Parcial</t>
  </si>
  <si>
    <t>Subtotal</t>
  </si>
  <si>
    <t>11160</t>
  </si>
  <si>
    <t>Partida</t>
  </si>
  <si>
    <t>kg</t>
  </si>
  <si>
    <t>Carga de gas refrigerante R-410A</t>
  </si>
  <si>
    <t>Carga de la instalaci«n con gas refrigerante R-410A, suministrado en botella con 50 kg de refrigerante. S determinarß el peso de la carga realmente introducida en la instalaci«n, seg·n especificaciones del Proyecto.</t>
  </si>
  <si>
    <t>Uds.</t>
  </si>
  <si>
    <t>Largo</t>
  </si>
  <si>
    <t>Ancho</t>
  </si>
  <si>
    <t>Alto</t>
  </si>
  <si>
    <t>Parcial</t>
  </si>
  <si>
    <t>Subtotal</t>
  </si>
  <si>
    <t>111025</t>
  </si>
  <si>
    <t>Partida</t>
  </si>
  <si>
    <t>u</t>
  </si>
  <si>
    <t>Puesta en marcha</t>
  </si>
  <si>
    <t>Puesta en marcha de toda la instalaci«n y chequeo del correcto funcionamiento de todos los elementos, con llenado de la instalaci«n de agua destilada. Medida la unidad funcionando y legalizada. La puesta en marcha se realizarß siempre antes de realizar el estudio ac·stico.</t>
  </si>
  <si>
    <t>Uds.</t>
  </si>
  <si>
    <t>Largo</t>
  </si>
  <si>
    <t>Ancho</t>
  </si>
  <si>
    <t>Alto</t>
  </si>
  <si>
    <t>Parcial</t>
  </si>
  <si>
    <t>Subtotal</t>
  </si>
  <si>
    <t>111912</t>
  </si>
  <si>
    <t>Partida</t>
  </si>
  <si>
    <t>u</t>
  </si>
  <si>
    <t>Bomba de condensados MASTONE</t>
  </si>
  <si>
    <t>Suministro e instalaci«n de bomba de condensados con dep«sito marca MASTONE, instalaci«n "vista". Incluye accesorios de soportaci«n y ayudas de alba±ilerØa necesarias.</t>
  </si>
  <si>
    <t>Uds.</t>
  </si>
  <si>
    <t>Largo</t>
  </si>
  <si>
    <t>Ancho</t>
  </si>
  <si>
    <t>Alto</t>
  </si>
  <si>
    <t>Parcial</t>
  </si>
  <si>
    <t>Subtotal</t>
  </si>
  <si>
    <t>Split</t>
  </si>
  <si>
    <t>111912B</t>
  </si>
  <si>
    <t>Partida</t>
  </si>
  <si>
    <t>u</t>
  </si>
  <si>
    <t>Bomba de condensados SAUERMANN</t>
  </si>
  <si>
    <t>Suministro e instalaci«n de bomba de condensados con dep«sito marca SAUERMANN, instalaci«n "vista". Incluye accesorios de soportaci«n y ayudas de alba±ilerØa necesarias.
bomba Si-82 CENTR_FUGA  evacua  hasta 500 lts/hora, con alta temperatura y ßcidos (pH&gt;2,5) producidos por las calderas de condensaci«n de gas.</t>
  </si>
  <si>
    <t>Uds.</t>
  </si>
  <si>
    <t>Largo</t>
  </si>
  <si>
    <t>Ancho</t>
  </si>
  <si>
    <t>Alto</t>
  </si>
  <si>
    <t>Parcial</t>
  </si>
  <si>
    <t>Subtotal</t>
  </si>
  <si>
    <t>Recuperador</t>
  </si>
  <si>
    <t>11052</t>
  </si>
  <si>
    <t>Partida</t>
  </si>
  <si>
    <t>m</t>
  </si>
  <si>
    <t>Cable bus de comunicaciones</t>
  </si>
  <si>
    <t>Cable bus de comunicaciones, de manguera sin apantallar, de 2 hilos, de 1 mm_ de secci«n por hilo, sin polaridad. Se medirß la longitud realmente ejecutada seg·n especificaciones del Proyecto.</t>
  </si>
  <si>
    <t>Uds.</t>
  </si>
  <si>
    <t>Largo</t>
  </si>
  <si>
    <t>Ancho</t>
  </si>
  <si>
    <t>Alto</t>
  </si>
  <si>
    <t>Parcial</t>
  </si>
  <si>
    <t>Subtotal</t>
  </si>
  <si>
    <t>11123625</t>
  </si>
  <si>
    <t>Partida</t>
  </si>
  <si>
    <t>u</t>
  </si>
  <si>
    <t>Detector sensor CO2</t>
  </si>
  <si>
    <t>Sensor CO2 para control de calidad del aire tipo AMUN 716 SR colocado en pared, incluso conexionado. Medida la unidad totalmente ejecutada y conexionada</t>
  </si>
  <si>
    <t>Uds.</t>
  </si>
  <si>
    <t>Largo</t>
  </si>
  <si>
    <t>Ancho</t>
  </si>
  <si>
    <t>Alto</t>
  </si>
  <si>
    <t>Parcial</t>
  </si>
  <si>
    <t>Subtotal</t>
  </si>
  <si>
    <t>Recuperador</t>
  </si>
  <si>
    <t>C11.1</t>
  </si>
  <si>
    <t>C11.2</t>
  </si>
  <si>
    <t>Capítulo</t>
  </si>
  <si>
    <t>Conexiones</t>
  </si>
  <si>
    <t>FQG-B335A</t>
  </si>
  <si>
    <t>Partida</t>
  </si>
  <si>
    <t>u</t>
  </si>
  <si>
    <t>Derivador frigorØfico modelo FQG-B335A para sistema MRV Haier</t>
  </si>
  <si>
    <t>Conjunto de dos juntas de derivaci«n frigorØfica,  una para la lØnea de lØquido y otra para la lØnea de gas, para sistema MRV (Volumen de Refrigerante Variable) "Haier", modelo FQG-B335A. Capacidad mßxima de 33,5 kW. Compatible con MRV S y MRV 5 Bomba de Calor. Medida la unidad totalmente ejecutada.</t>
  </si>
  <si>
    <t>Uds.</t>
  </si>
  <si>
    <t>Largo</t>
  </si>
  <si>
    <t>Ancho</t>
  </si>
  <si>
    <t>Alto</t>
  </si>
  <si>
    <t>Parcial</t>
  </si>
  <si>
    <t>Subtotal</t>
  </si>
  <si>
    <t>FQG-B506A</t>
  </si>
  <si>
    <t>Partida</t>
  </si>
  <si>
    <t>u</t>
  </si>
  <si>
    <t>Derivador frigorØfico modelo FQG-B506A para sistema MRV Haier</t>
  </si>
  <si>
    <t>Conjunto de dos juntas de derivaci«n frigorØfica,  una para la lØnea de lØquido y otra para la lØnea de gas, para sistema MRV (Volumen de Refrigerante Variable) "Haier", modelo FQG-B506A. Capacidad mØnima de 33,5 kW. Capacidad mßxima de 50,6 Kw.  Compatible con MRV S y MRV 5 Bomba de Calor.</t>
  </si>
  <si>
    <t>Uds.</t>
  </si>
  <si>
    <t>Largo</t>
  </si>
  <si>
    <t>Ancho</t>
  </si>
  <si>
    <t>Alto</t>
  </si>
  <si>
    <t>Parcial</t>
  </si>
  <si>
    <t>Subtotal</t>
  </si>
  <si>
    <t>FQG-B730A</t>
  </si>
  <si>
    <t>Partida</t>
  </si>
  <si>
    <t>u</t>
  </si>
  <si>
    <t>Derivador frigorØfico modelo FQG-B730A para sistema MRV Haier</t>
  </si>
  <si>
    <t>Conjunto de dos juntas de derivaci«n frigorØfica,  una para la lØnea de lØquido y otra para la lØnea de gas, para sistema MRV (Volumen de Refrigerante Variable) "Haier", modelo FQG-B730A. Capacidad mØnima de 50,6 kW. Capacidad mßxima de 73 Kw.  Compatible con MRV S y MRV 5 Bomba de Calor. Medida la unidad totalmente ejecutada.</t>
  </si>
  <si>
    <t>Uds.</t>
  </si>
  <si>
    <t>Largo</t>
  </si>
  <si>
    <t>Ancho</t>
  </si>
  <si>
    <t>Alto</t>
  </si>
  <si>
    <t>Parcial</t>
  </si>
  <si>
    <t>Subtotal</t>
  </si>
  <si>
    <t>FQG-B1350A</t>
  </si>
  <si>
    <t>Partida</t>
  </si>
  <si>
    <t>u</t>
  </si>
  <si>
    <t>Derivador frigorØfico modelo FQG-B1350A para sistema MRV Haier</t>
  </si>
  <si>
    <t>Conjunto de dos juntas de derivaci«n frigorØfica,  una para la lØnea de lØquido y otra para la lØnea de gas, para sistema MRV (Volumen de Refrigerante Variable) "Haier", modelo FQG-B1350A. Capacidad mØnima de 50,6 kW. Capacidad mßxima de 73 Kw.  Compatible con MRV S y MRV 5 Bomba de Calor.</t>
  </si>
  <si>
    <t>Uds.</t>
  </si>
  <si>
    <t>Largo</t>
  </si>
  <si>
    <t>Ancho</t>
  </si>
  <si>
    <t>Alto</t>
  </si>
  <si>
    <t>Parcial</t>
  </si>
  <si>
    <t>Subtotal</t>
  </si>
  <si>
    <t>HZG-20B</t>
  </si>
  <si>
    <t>Partida</t>
  </si>
  <si>
    <t>u</t>
  </si>
  <si>
    <t>Kit de conexi«n modelo HZG-20B MRV Haier</t>
  </si>
  <si>
    <t>Kit de conexi«n m·ltiple de m«dulos de 2 unidades exteriores para sistema MRV (Volumen de Refrigerante Variable) "Haier", modelo HZG-20B. Compatible con MRV 5 Bomba de Calor.</t>
  </si>
  <si>
    <t>Uds.</t>
  </si>
  <si>
    <t>Largo</t>
  </si>
  <si>
    <t>Ancho</t>
  </si>
  <si>
    <t>Alto</t>
  </si>
  <si>
    <t>Parcial</t>
  </si>
  <si>
    <t>Subtotal</t>
  </si>
  <si>
    <t>1001</t>
  </si>
  <si>
    <t>Partida</t>
  </si>
  <si>
    <t>m</t>
  </si>
  <si>
    <t>LØnea frigorØfica cobre 1/4" (6,32mm)</t>
  </si>
  <si>
    <t>LØnea frigorØfica  realizada con tuberØa para gas mediante tubo de cobre sin soldadura, de 1/4" de dißmetro y 1 mm de espesor con coquilla de espuma elastomÚrica, de 11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</si>
  <si>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</si>
  <si>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</si>
  <si>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</si>
  <si>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</si>
  <si>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</si>
  <si>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</si>
  <si>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1002</t>
  </si>
  <si>
    <t>Partida</t>
  </si>
  <si>
    <t>m</t>
  </si>
  <si>
    <t>LØnea frigorØfica cobre 3/8" (9,52mm)</t>
  </si>
  <si>
    <t>LØnea frigorØfica realizada con tuberØa para gas mediante tubo de cobre sin soldadura,  de 3/8" de dißmetro y 1 mm de espesor con coquilla de espuma elastomÚrica, de 11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</si>
  <si>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</si>
  <si>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</si>
  <si>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</si>
  <si>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</si>
  <si>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</si>
  <si>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</si>
  <si>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1003</t>
  </si>
  <si>
    <t>Partida</t>
  </si>
  <si>
    <t>m</t>
  </si>
  <si>
    <t>LØnea frigorØfica cobre 1/2" (12,7mm)</t>
  </si>
  <si>
    <t>LØnea frigorØfica realizada con tuberØa para gas mediante tubo de cobre sin soldadura, , de 1/2" de dißmetro y 1 mm de espesor con coquilla de espuma elastomÚrica, de 11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</si>
  <si>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</si>
  <si>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</si>
  <si>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</si>
  <si>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</si>
  <si>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</si>
  <si>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</si>
  <si>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111459A1A</t>
  </si>
  <si>
    <t>Partida</t>
  </si>
  <si>
    <t>m</t>
  </si>
  <si>
    <t>LØnea frigorØfica simple cobre 1" (25,4mm)</t>
  </si>
  <si>
    <t>LØnea frigorØfica simple realizada con tuberØa para gas mediante tubo de cobre sin soldadura, de 1" de dißmetro y 0,8 mm de espesor con coquilla de espuma elastomÚrica, de 11 mm de dißmetro interior y 10 mm de espesor, a base de caucho sintÚtico flexible, de estructura celular cerrada y tuberØa para lØquido mediante tubo de cobre sin soldadura.</t>
  </si>
  <si>
    <t>Uds.</t>
  </si>
  <si>
    <t>Largo</t>
  </si>
  <si>
    <t>Ancho</t>
  </si>
  <si>
    <t>Alto</t>
  </si>
  <si>
    <t>Parcial</t>
  </si>
  <si>
    <t>Subtotal</t>
  </si>
  <si>
    <t>1006</t>
  </si>
  <si>
    <t>Partida</t>
  </si>
  <si>
    <t>m</t>
  </si>
  <si>
    <t>LØnea frigorØfica cobre 5/8" (15,87mm)</t>
  </si>
  <si>
    <t>LØnea frigorØfica realizada con tuberØa para gas mediante tubo de cobre sin soldadura, de  5/8" de dißmetro y 1 mm de espesor con coquilla de espuma elastomÚrica, de 11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</si>
  <si>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</si>
  <si>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</si>
  <si>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</si>
  <si>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</si>
  <si>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</si>
  <si>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</si>
  <si>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1004</t>
  </si>
  <si>
    <t>Partida</t>
  </si>
  <si>
    <t>m</t>
  </si>
  <si>
    <t>LØnea frigorØfica cobre 3/4" (19,05mm)</t>
  </si>
  <si>
    <t>LØnea frigorØfica  realizada con tuberØa para gas mediante tubo de cobre sin soldadura, de 3/4" de dißmetro y 1 mm de espesor con coquilla de espuma elastomÚrica, de 11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</si>
  <si>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</si>
  <si>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</si>
  <si>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</si>
  <si>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</si>
  <si>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</si>
  <si>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</si>
  <si>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1005</t>
  </si>
  <si>
    <t>Partida</t>
  </si>
  <si>
    <t>m</t>
  </si>
  <si>
    <t>LØnea frigorØfica cobre 7/8" (22,20mm)</t>
  </si>
  <si>
    <t>LØnea frigorØfica  realizada con tuberØa para gas mediante tubo de cobre sin soldadura, de 7/8" de dißmetro y 1 mm de espesor con coquilla de espuma elastomÚrica, de 11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</si>
  <si>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</si>
  <si>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</si>
  <si>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</si>
  <si>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</si>
  <si>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</si>
  <si>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</si>
  <si>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11156A2S</t>
  </si>
  <si>
    <t>Partida</t>
  </si>
  <si>
    <t>m</t>
  </si>
  <si>
    <t>LØnea frigorØfica simple cobre 1 1/4"</t>
  </si>
  <si>
    <t>LØnea frigorØfica simple realizada con tuberØa para gas mediante tubo de cobre sin soldadura, de 1 1/4" de dißmetro y 1 mm de espesor con coquilla de espuma elastomÚrica, de 11 mm de dißmetro interior y 10 mm de espesor, a base de caucho sintÚtico flexible, de estructura celular cerrada y tuberØa para lØquido mediante tubo de cobre sin soldadura.</t>
  </si>
  <si>
    <t>Uds.</t>
  </si>
  <si>
    <t>Largo</t>
  </si>
  <si>
    <t>Ancho</t>
  </si>
  <si>
    <t>Alto</t>
  </si>
  <si>
    <t>Parcial</t>
  </si>
  <si>
    <t>Subtotal</t>
  </si>
  <si>
    <t>11156A3S</t>
  </si>
  <si>
    <t>Partida</t>
  </si>
  <si>
    <t>m</t>
  </si>
  <si>
    <t>LØnea frigorØfica simple cobre 1 1/2"</t>
  </si>
  <si>
    <t>LØnea frigorØfica simple realizada con tuberØa para gas mediante tubo de cobre sin soldadura, de 1 1/2" de dißmetro y 1 mm de espesor con coquilla de espuma elastomÚrica, de 11 mm de dißmetro interior y 10 mm de espesor, a base de caucho sintÚtico flexible, de estructura celular cerrada y tuberØa para lØquido mediante tubo de cobre sin soldadura.</t>
  </si>
  <si>
    <t>Uds.</t>
  </si>
  <si>
    <t>Largo</t>
  </si>
  <si>
    <t>Ancho</t>
  </si>
  <si>
    <t>Alto</t>
  </si>
  <si>
    <t>Parcial</t>
  </si>
  <si>
    <t>Subtotal</t>
  </si>
  <si>
    <t>C11.2</t>
  </si>
  <si>
    <t>C11.3</t>
  </si>
  <si>
    <t>Capítulo</t>
  </si>
  <si>
    <t>Difusi«n</t>
  </si>
  <si>
    <t>11260A</t>
  </si>
  <si>
    <t>Partida</t>
  </si>
  <si>
    <t>u</t>
  </si>
  <si>
    <t>Boca de extracci«n diam 125 mm</t>
  </si>
  <si>
    <t>Boca de ventilaci«n en ejecuci«n redonda adecuada para extracci«n, de 125 mm de dißmetro, con regulaci«n del aire mediante el giro del disco central. Se medirß el n·mero de unidades realmente ejecutadas seg·n especificaciones de Proyecto.</t>
  </si>
  <si>
    <t>Uds.</t>
  </si>
  <si>
    <t>Largo</t>
  </si>
  <si>
    <t>Ancho</t>
  </si>
  <si>
    <t>Alto</t>
  </si>
  <si>
    <t>Parcial</t>
  </si>
  <si>
    <t>Subtotal</t>
  </si>
  <si>
    <t>11211</t>
  </si>
  <si>
    <t>Partida</t>
  </si>
  <si>
    <t>m2</t>
  </si>
  <si>
    <t>Conducto de lana mineral "Climaver Neto"</t>
  </si>
  <si>
    <t>Conducto autoportante rectangular para la distribuci«n de aire climatizado formado por panel rØgido de alta densidad de lana de vidrio Climaver Neto "ISOVER", seg·n UNE-EN 13162, de 25 mm de espesor, revestido por un complejo triplex aluminio visto + malla de fibra de vidrio + kraft por el exterior y un tejido de vidrio ac·stico de alta resistencia mecßnica (tejido NETO) por el interior. Se medirß la superficie realmente ejecutada, medida a cara interior, seg·n especificaciones del Proyecto.</t>
  </si>
  <si>
    <t>Uds.</t>
  </si>
  <si>
    <t>Largo</t>
  </si>
  <si>
    <t>Ancho</t>
  </si>
  <si>
    <t>Alto</t>
  </si>
  <si>
    <t>Parcial</t>
  </si>
  <si>
    <t>Subtotal</t>
  </si>
  <si>
    <t>REC F</t>
  </si>
  <si>
    <t>0</t>
  </si>
  <si>
    <t>ADM</t>
  </si>
  <si>
    <t>EXT</t>
  </si>
  <si>
    <t>REC G</t>
  </si>
  <si>
    <t>0</t>
  </si>
  <si>
    <t>ADM</t>
  </si>
  <si>
    <t>EXT</t>
  </si>
  <si>
    <t>UD. EXT</t>
  </si>
  <si>
    <t>11220</t>
  </si>
  <si>
    <t>Partida</t>
  </si>
  <si>
    <t>m2</t>
  </si>
  <si>
    <t>Conducto de chapa galvanizada 0,6 mm</t>
  </si>
  <si>
    <t>Conductos de chapa galvanizada de 0,6 mm de espesor y juntas transversales con vaina deslizante tipo bayoneta. Se medirß la superficie realmente ejecutada seg·n especificaciones del Proyecto.</t>
  </si>
  <si>
    <t>Uds.</t>
  </si>
  <si>
    <t>Largo</t>
  </si>
  <si>
    <t>Ancho</t>
  </si>
  <si>
    <t>Alto</t>
  </si>
  <si>
    <t>Parcial</t>
  </si>
  <si>
    <t>Subtotal</t>
  </si>
  <si>
    <t>VESTUARIOS</t>
  </si>
  <si>
    <t>0</t>
  </si>
  <si>
    <t>ADM</t>
  </si>
  <si>
    <t>EXT</t>
  </si>
  <si>
    <t>1659529</t>
  </si>
  <si>
    <t>Partida</t>
  </si>
  <si>
    <t>m2</t>
  </si>
  <si>
    <t>Rejilla para toma de aire exterior</t>
  </si>
  <si>
    <t xml:space="preserve"> Rejilla de intemperie para instalaciones de ventilaci«n, marco frontal y lamas de chapa perfilada de acero galvanizado, de dimensiones seg·n plano, incluso malla de 20x20mm. Medida la unidad totalmente instalada, incluso mano de obra y peque±o material
No mandar a fabricaci«n sin previo confirmaci«n y verificaci«n por parte del facultativo</t>
  </si>
  <si>
    <t>Uds.</t>
  </si>
  <si>
    <t>Largo</t>
  </si>
  <si>
    <t>Ancho</t>
  </si>
  <si>
    <t>Alto</t>
  </si>
  <si>
    <t>Parcial</t>
  </si>
  <si>
    <t>Subtotal</t>
  </si>
  <si>
    <t>REC F</t>
  </si>
  <si>
    <t>REC G APORT</t>
  </si>
  <si>
    <t>REC G EXT</t>
  </si>
  <si>
    <t>Ventilador APORT</t>
  </si>
  <si>
    <t>Ventilador EXT</t>
  </si>
  <si>
    <t>UD. EXT</t>
  </si>
  <si>
    <t>UD. EXT</t>
  </si>
  <si>
    <t>Aerotermias</t>
  </si>
  <si>
    <t>11200200X10B6</t>
  </si>
  <si>
    <t>Partida</t>
  </si>
  <si>
    <t>u</t>
  </si>
  <si>
    <t>Reja de admisi«n/extracci«n MADEL LMT 200X200</t>
  </si>
  <si>
    <t>Reja de admisi«n/extracci«n MADEL LMT de aluminio extruido, anodizado color negro mate, con lamas fijas, de 200x200mm,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</si>
  <si>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</si>
  <si>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</si>
  <si>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</si>
  <si>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</si>
  <si>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</si>
  <si>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</si>
  <si>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REC G</t>
  </si>
  <si>
    <t>11250250X10B7</t>
  </si>
  <si>
    <t>Partida</t>
  </si>
  <si>
    <t>u</t>
  </si>
  <si>
    <t>Reja de admisi«n/extracci«n MADEL LMT 200x250</t>
  </si>
  <si>
    <t>Reja de admisi«n/extracci«n MADEL LMT de aluminio extruido, anodizado color negro mate, con lamas fijas, de 200x150mm,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</si>
  <si>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</si>
  <si>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</si>
  <si>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</si>
  <si>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</si>
  <si>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</si>
  <si>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</si>
  <si>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REC F</t>
  </si>
  <si>
    <t>11100100X10B9</t>
  </si>
  <si>
    <t>Partida</t>
  </si>
  <si>
    <t>u</t>
  </si>
  <si>
    <t>Reja de admisi«n/extracci«n MADEL LMT 100X100</t>
  </si>
  <si>
    <t>Reja de admisi«n/extracci«n MADEL LMT de aluminio extruido, anodizado color negro mate, con lamas fijas, de 100x100mm,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</si>
  <si>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</si>
  <si>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</si>
  <si>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</si>
  <si>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</si>
  <si>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</si>
  <si>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</si>
  <si>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Ocifina</t>
  </si>
  <si>
    <t>11300250X10B</t>
  </si>
  <si>
    <t>Partida</t>
  </si>
  <si>
    <t>u</t>
  </si>
  <si>
    <t>Reja de admisi«n/extracci«n MADEL LMT 300X250</t>
  </si>
  <si>
    <t>Reja de admisi«n/extracci«n MADEL LMT de aluminio extruido, anodizado color negro mate, con lamas fijas, de 300x250mm,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</si>
  <si>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</si>
  <si>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</si>
  <si>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</si>
  <si>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</si>
  <si>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</si>
  <si>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</si>
  <si>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Vestuarios</t>
  </si>
  <si>
    <t>C11.3</t>
  </si>
  <si>
    <t>SG11</t>
  </si>
  <si>
    <t>SG12</t>
  </si>
  <si>
    <t>Capítulo</t>
  </si>
  <si>
    <t>Instalaci«n de protecci«n contra incendios</t>
  </si>
  <si>
    <t>12050</t>
  </si>
  <si>
    <t>Partida</t>
  </si>
  <si>
    <t>u</t>
  </si>
  <si>
    <t>Legalizaci«n de instalaci«n de PCI incluso proyecto</t>
  </si>
  <si>
    <t>Certificaci«n y legalizaci«n de instalaci«n de protecci«n contra incendios, incluyendo preparaci«n, proyecto y visado (si procede) y tramitaci«n, hasta buen fin y ante los organismos competentes; incluso registro en industria por parte de la empreas instaladora. Se entregarßn los planos actualizados as built en .pdf y .dwg al cliente.</t>
  </si>
  <si>
    <t>Uds.</t>
  </si>
  <si>
    <t>Largo</t>
  </si>
  <si>
    <t>Ancho</t>
  </si>
  <si>
    <t>Alto</t>
  </si>
  <si>
    <t>Parcial</t>
  </si>
  <si>
    <t>Subtotal</t>
  </si>
  <si>
    <t>12001</t>
  </si>
  <si>
    <t>Partida</t>
  </si>
  <si>
    <t>PA</t>
  </si>
  <si>
    <t>Acometida instalaci«n protecci«n contra incendios, a justificar</t>
  </si>
  <si>
    <t>Partida alzada de instalaci«n de conexi«n con red de agua contra incendios y elementos necesarios para el cumplimiento de la normativa de la emrpesa suministradora en el apartado de agua contra incendios, distribuci«n formada por m«dulo para contador, incluso llave de corte, filtro, puentes y elementos necesarios para cumplimiento de la empresa suministradora. No se incluye el conexionado del m«dulo contador con la red de distribuci«n ni actuaci«n exterior mßs allß del contador de aguas, trabajo que ejecutarß la empresa suministradora. A justificar en obra.</t>
  </si>
  <si>
    <t>Uds.</t>
  </si>
  <si>
    <t>Largo</t>
  </si>
  <si>
    <t>Ancho</t>
  </si>
  <si>
    <t>Alto</t>
  </si>
  <si>
    <t>Parcial</t>
  </si>
  <si>
    <t>Subtotal</t>
  </si>
  <si>
    <t>1200-12</t>
  </si>
  <si>
    <t>Partida</t>
  </si>
  <si>
    <t>ud</t>
  </si>
  <si>
    <t>Central de detecci«n automßtica de incendios de 12 zonas</t>
  </si>
  <si>
    <t>Central de detecci«n automßtica de incendios, convencional, microprocesada, de 12 zonas de detecci«n, con caja metßlica y tapa de ABS, con m«dulo de alimentaci«n, rectificador de corriente y cargador de baterØa, panel de control con indicador de alarma y averØa y conmutador de corte de zonas. Incluso baterØas. Se medirß el n·mero de unidades realmente ejecutadas seg·n especificaciones de Proyecto.</t>
  </si>
  <si>
    <t>Uds.</t>
  </si>
  <si>
    <t>Largo</t>
  </si>
  <si>
    <t>Ancho</t>
  </si>
  <si>
    <t>Alto</t>
  </si>
  <si>
    <t>Parcial</t>
  </si>
  <si>
    <t>Subtotal</t>
  </si>
  <si>
    <t>12003</t>
  </si>
  <si>
    <t>Partida</t>
  </si>
  <si>
    <t>u</t>
  </si>
  <si>
    <t>Detector «ptico de humos</t>
  </si>
  <si>
    <t>Detector «ptico de humos convencional, de ABS color blanco, formado por un elemento sensible a humos claros, para alimentaci«n de 12 a 30 Vcc, con doble led de activaci«n e indicador de alarma color rojo, salida para piloto de se±alizaci«n remota y base universal. Incluso elementos de fijaci«n. Se medirß el n·mero de unidades realmente ejecutadas seg·n especificaciones de Proyecto.</t>
  </si>
  <si>
    <t>Uds.</t>
  </si>
  <si>
    <t>Largo</t>
  </si>
  <si>
    <t>Ancho</t>
  </si>
  <si>
    <t>Alto</t>
  </si>
  <si>
    <t>Parcial</t>
  </si>
  <si>
    <t>Subtotal</t>
  </si>
  <si>
    <t>12004</t>
  </si>
  <si>
    <t>Partida</t>
  </si>
  <si>
    <t>u</t>
  </si>
  <si>
    <t>Pulsador de alarma, con tapa</t>
  </si>
  <si>
    <t>Pulsador de alarma convencional de rearme manual, de ABS color rojo, protecci«n IP41, con led indicador de alarma color rojo y llave de rearme, con tapa de metacrilato. Incluso elementos de fijaci«n. Se medirß el n·mero de unidades realmente ejecutadas seg·n especificaciones de Proyecto.</t>
  </si>
  <si>
    <t>Uds.</t>
  </si>
  <si>
    <t>Largo</t>
  </si>
  <si>
    <t>Ancho</t>
  </si>
  <si>
    <t>Alto</t>
  </si>
  <si>
    <t>Parcial</t>
  </si>
  <si>
    <t>Subtotal</t>
  </si>
  <si>
    <t>Pulsadores</t>
  </si>
  <si>
    <t>12005</t>
  </si>
  <si>
    <t>Partida</t>
  </si>
  <si>
    <t>u</t>
  </si>
  <si>
    <t>Sirena interior</t>
  </si>
  <si>
    <t>Suministro e instalaci«n en paramento interior de sirena electr«nica, de color rojo, con se±al ac·stica y visual, alimentaci«n a 24 Vcc, potencia sonora de 100 dB a 1 m y consumo de 14 mA. Incluso elementos de fijaci«n. Se medirß el n·mero de unidades realmente ejecutadas seg·n especificaciones de Proyecto.</t>
  </si>
  <si>
    <t>Uds.</t>
  </si>
  <si>
    <t>Largo</t>
  </si>
  <si>
    <t>Ancho</t>
  </si>
  <si>
    <t>Alto</t>
  </si>
  <si>
    <t>Parcial</t>
  </si>
  <si>
    <t>Subtotal</t>
  </si>
  <si>
    <t>Sirenas</t>
  </si>
  <si>
    <t>12011</t>
  </si>
  <si>
    <t>Partida</t>
  </si>
  <si>
    <t>m</t>
  </si>
  <si>
    <t>Cableado 1,5 mm2 + PVC FLEXIBLE</t>
  </si>
  <si>
    <t>Cableado formado por cable unipolar ES07Z1-K (AS), reacci«n al fuego clase Cca-s1b,d1,a1, con conductor multifilar de cobre clase 5 (-K) de 1,5 mm_ de secci«n, con aislamiento de compuesto termoplßstico a base de poliolefina libre de hal«genos con baja emisi«n de humos y gases corrosivos (Z1). Incluso cuantos accesorios sean necesarios para su correcta instalaci«n y cable protector flexible de PVC. Se medirß la longitud realmente ejecutada seg·n especificaciones de Proyecto.
NOTA: EL CABLEADPO CREEMOS QUE ESTA MUY JUSTO. EN EL MOMENTO DE LA LIQUIDACION SE FACTURARAN LOS ML DE CABLE</t>
  </si>
  <si>
    <t>Uds.</t>
  </si>
  <si>
    <t>Largo</t>
  </si>
  <si>
    <t>Ancho</t>
  </si>
  <si>
    <t>Alto</t>
  </si>
  <si>
    <t>Parcial</t>
  </si>
  <si>
    <t>Subtotal</t>
  </si>
  <si>
    <t>Alarma</t>
  </si>
  <si>
    <t>Detectores</t>
  </si>
  <si>
    <t>12020</t>
  </si>
  <si>
    <t>Partida</t>
  </si>
  <si>
    <t>u</t>
  </si>
  <si>
    <t>Boca de incendio equipada</t>
  </si>
  <si>
    <t>Suministro e instalaci«n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metßlica giratoria abatible 180_ permitiendo la extracci«n de la manguera en cualquier direcci«n, pintada en rojo epoxi, con alimentaci«n axial; manguera semirrØgida de 20 m de longitud; lanza de tres efectos (cierre, pulverizaci«n y chorro compacto) construida en plßstico ABS y vßlvula de cierre tipo esfera de 25 mm (1"), de lat«n, con man«metro 0-16 bar. Incluso accesorios y elementos de fijaci«n. Se medirß el n·mero de unidades realmente ejecutadas seg·n especificaciones de Proyecto.</t>
  </si>
  <si>
    <t>Uds.</t>
  </si>
  <si>
    <t>Largo</t>
  </si>
  <si>
    <t>Ancho</t>
  </si>
  <si>
    <t>Alto</t>
  </si>
  <si>
    <t>Parcial</t>
  </si>
  <si>
    <t>Subtotal</t>
  </si>
  <si>
    <t>BIEs</t>
  </si>
  <si>
    <t>12031C</t>
  </si>
  <si>
    <t>Partida</t>
  </si>
  <si>
    <t>u</t>
  </si>
  <si>
    <t>Dep«sitos para reserva agua PCI de 3000L</t>
  </si>
  <si>
    <t>Dep«sitos para reserva de agua contra incendios de 3000L de capacidad, prefabricados o ejecutados in situ de polietileno de alta densidad (PEAD), cerrados, de dimensiones Largo x Ancho x Alto (mm): 2230 x 995 x 1650, Incluso conexionado entre ellos, vßlvula de flotador de 1 1/2" de dißmetro para conectar con la acometida, interruptores de nivel, vßlvula de bola de 50 mm de dißmetro para vaciado y vßlvula de corte de mariposa de 1 1/2" de dißmetro para conectar al grupo de presi«n. Medida la unidad totalmente ejecutada y conexionada.</t>
  </si>
  <si>
    <t>Uds.</t>
  </si>
  <si>
    <t>Largo</t>
  </si>
  <si>
    <t>Ancho</t>
  </si>
  <si>
    <t>Alto</t>
  </si>
  <si>
    <t>Parcial</t>
  </si>
  <si>
    <t>Subtotal</t>
  </si>
  <si>
    <t>Dep«sito PCI</t>
  </si>
  <si>
    <t>1203370B</t>
  </si>
  <si>
    <t>Partida</t>
  </si>
  <si>
    <t>u</t>
  </si>
  <si>
    <t>Grupo de presi«n contra incendios BOMDESA GIEU 12/70</t>
  </si>
  <si>
    <t>Grupo de presi«n de agua contra incendios, modelo BOMDESA GIEU 12/70 formado por: una bomba principal vertical multicelular SB 750T, camisa exterior, impulsor, base portacierre y eje de acero inoxidable AISI 304, accionada por motor asØncrono de 2 polos de 4 kW, aislamiento clase F, protecci«n IP55, eficiencia IE3, para alimentaci«n trifßsica a 230/400 V, una bomba auxiliar jockey MV 175T, con camisa externa de acero inoxidable AISI 304, eje de acero inoxidable AISI 416, cuerpos de aspiraci«n e impulsi«n y contrabridas de hierro fundido, difusores de policarbonato con fibra de vidrio, accionada por motor elÚctrico de 0,9 kW, dep«sito hidroneumßtico de 24 l, bancada metßlica, vßlvulas de corte, antirretorno y de aislamiento, man«metros, presostatos, cuadro elÚctrico de fuerza y control para la operaci«n totalmente automßtica del grupo, soporte metßlico para cuadro elÚctrico, colector de impulsi«n, con caudalØmetro para grupo contra incendios de tipo rotßmetro de lectura directa, precisi«n del 10%, cuerpo acrØlico y flotador de acero inoxidable. Incluso soportes, piezas especiales y accesorios. Se medirß el n·mero de unidades realmente ejecutadas seg·n especificaciones de Proyecto.</t>
  </si>
  <si>
    <t>Uds.</t>
  </si>
  <si>
    <t>Largo</t>
  </si>
  <si>
    <t>Ancho</t>
  </si>
  <si>
    <t>Alto</t>
  </si>
  <si>
    <t>Parcial</t>
  </si>
  <si>
    <t>Subtotal</t>
  </si>
  <si>
    <t>120352</t>
  </si>
  <si>
    <t>Partida</t>
  </si>
  <si>
    <t>m</t>
  </si>
  <si>
    <t>Red de distribuci«n de agua de 2"</t>
  </si>
  <si>
    <t>Red aÚrea de distribuci«n de agua para abastecimiento de los equipos de extinci«n de incendios, formada por tuberØa de acero negro con soldadura longitudinal, de 2" DN 63 mm de dißmetro, uni«n roscada, sin calorifugar, que arranca desde la fuente de abastecimiento de agua hasta cada equipo de extinci«n de incendios. Incluso material auxiliar para montaje y sujeci«n a la obra, accesorios y piezas especiales, mano de imprimaci«n antioxidante de al menos 50 micras de espesor, y dos manos de esmalte rojo de al menos 40 micras de espesor cada una.</t>
  </si>
  <si>
    <t>Uds.</t>
  </si>
  <si>
    <t>Largo</t>
  </si>
  <si>
    <t>Ancho</t>
  </si>
  <si>
    <t>Alto</t>
  </si>
  <si>
    <t>Parcial</t>
  </si>
  <si>
    <t>Subtotal</t>
  </si>
  <si>
    <t>12037</t>
  </si>
  <si>
    <t>Partida</t>
  </si>
  <si>
    <t>m</t>
  </si>
  <si>
    <t>Red de distribuci«n de agua de 1 1/4"</t>
  </si>
  <si>
    <t>Red aÚrea de distribuci«n de agua para abastecimiento de los equipos de extinci«n de incendios, formada por tuberØa de acero negro con soldadura longitudinal, de 1 1/4" DN 32 mm de dißmetro, uni«n roscada, sin calorifugar, que arranca desde la fuente de abastecimiento de agua hasta cada equipo de extinci«n de incendios. Incluso material auxiliar para montaje y sujeci«n a la obra, accesorios y piezas especiales, mano de imprimaci«n antioxidante de al menos 50 micras de espesor, y dos manos de esmalte rojo de al menos 40 micras de espesor cada una.
NOTA:LAS BIES NO SE PUEDEN INSTALAR CON LA TUBERIA PROPUESTA. EXISTIRA UN TRAMO QUE SE DEBERA DE INSTALAR CON 1”1/2. EL PRECIO POR ML ES DE 42 E/ML.</t>
  </si>
  <si>
    <t>Uds.</t>
  </si>
  <si>
    <t>Largo</t>
  </si>
  <si>
    <t>Ancho</t>
  </si>
  <si>
    <t>Alto</t>
  </si>
  <si>
    <t>Parcial</t>
  </si>
  <si>
    <t>Subtotal</t>
  </si>
  <si>
    <t>12021</t>
  </si>
  <si>
    <t>Partida</t>
  </si>
  <si>
    <t>u</t>
  </si>
  <si>
    <t>Extintor polvo ABC polivalente 6kg</t>
  </si>
  <si>
    <t>Extintor portßtil de polvo quØmico ABC polivalente antibrasa, con presi«n incorporada, de eficacia 21A-144B-C, con 6 kg de agente extintor, con man«metro y manguera con boquilla difusora. Incluso soporte y accesorios de montaje. Se medirß el n·mero de unidades realmente ejecutadas seg·n especificaciones de Proyecto.</t>
  </si>
  <si>
    <t>Uds.</t>
  </si>
  <si>
    <t>Largo</t>
  </si>
  <si>
    <t>Ancho</t>
  </si>
  <si>
    <t>Alto</t>
  </si>
  <si>
    <t>Parcial</t>
  </si>
  <si>
    <t>Subtotal</t>
  </si>
  <si>
    <t>12022</t>
  </si>
  <si>
    <t>Partida</t>
  </si>
  <si>
    <t>u</t>
  </si>
  <si>
    <t>Extintor nieve carb«nica CO2 5kg</t>
  </si>
  <si>
    <t>Extintor portßtil de nieve carb«nica CO2, de eficacia 34B, con 5 kg de agente extintor, con vaso difusor. Incluso soporte y accesorios de montaje. Se medirß el n·mero de unidades realmente ejecutadas seg·n especificaciones de Proyecto.</t>
  </si>
  <si>
    <t>Uds.</t>
  </si>
  <si>
    <t>Largo</t>
  </si>
  <si>
    <t>Ancho</t>
  </si>
  <si>
    <t>Alto</t>
  </si>
  <si>
    <t>Parcial</t>
  </si>
  <si>
    <t>Subtotal</t>
  </si>
  <si>
    <t>Oficina</t>
  </si>
  <si>
    <t>12023</t>
  </si>
  <si>
    <t>Partida</t>
  </si>
  <si>
    <t>u</t>
  </si>
  <si>
    <t>Se±alizaci«n de equipos contra incendios, fotoluminiscente</t>
  </si>
  <si>
    <t>Placa de se±alizaci«n de equipos contra incendios, de poliestireno fotoluminiscente, de 210x210 mm, Incluso elementos de fijaci«n, seg·n UNE 23033-1. Se medirß el n·mero de unidades realmente ejecutadas seg·n especificaciones de Proyecto.</t>
  </si>
  <si>
    <t>Uds.</t>
  </si>
  <si>
    <t>Largo</t>
  </si>
  <si>
    <t>Ancho</t>
  </si>
  <si>
    <t>Alto</t>
  </si>
  <si>
    <t>Parcial</t>
  </si>
  <si>
    <t>Subtotal</t>
  </si>
  <si>
    <t>Extintor</t>
  </si>
  <si>
    <t>BIE</t>
  </si>
  <si>
    <t>Alarma</t>
  </si>
  <si>
    <t>12024</t>
  </si>
  <si>
    <t>Partida</t>
  </si>
  <si>
    <t>u</t>
  </si>
  <si>
    <t>Se±alizaci«n de medios de evacuaci«n, fotoluminiscente</t>
  </si>
  <si>
    <t>Placa de se±alizaci«n de medios de evacuaci«n, de poliestireno fotoluminiscente, de 210x210 mm, Incluso elementos de fijaci«n, seg·n UNE 23033-1. Se medirß el n·mero de unidades realmente ejecutadas seg·n especificaciones de Proyecto.</t>
  </si>
  <si>
    <t>Uds.</t>
  </si>
  <si>
    <t>Largo</t>
  </si>
  <si>
    <t>Ancho</t>
  </si>
  <si>
    <t>Alto</t>
  </si>
  <si>
    <t>Parcial</t>
  </si>
  <si>
    <t>Subtotal</t>
  </si>
  <si>
    <t>SIN SALIDA</t>
  </si>
  <si>
    <t>SALIDA EMERGENCIA</t>
  </si>
  <si>
    <t>SALIDA</t>
  </si>
  <si>
    <t>RECORRIDO</t>
  </si>
  <si>
    <t>12033</t>
  </si>
  <si>
    <t>Partida</t>
  </si>
  <si>
    <t>u</t>
  </si>
  <si>
    <t>Sellado de penetraciones: manguito cortafuego</t>
  </si>
  <si>
    <t>Sistema de sellado de penetraciones para protecci«n pasiva contra incendios con manguito intumescente cortafuego, colocado alrededor de la tuberØa combustible de dißmetro seg·n tuberØa y plano, en paso de forjado o muro. Se medirß el n·mero de unidades realmente ejecutadas seg·n especificaciones de Proyecto.</t>
  </si>
  <si>
    <t>Uds.</t>
  </si>
  <si>
    <t>Largo</t>
  </si>
  <si>
    <t>Ancho</t>
  </si>
  <si>
    <t>Alto</t>
  </si>
  <si>
    <t>Parcial</t>
  </si>
  <si>
    <t>Subtotal</t>
  </si>
  <si>
    <t>Previsi«n</t>
  </si>
  <si>
    <t>12034</t>
  </si>
  <si>
    <t>Partida</t>
  </si>
  <si>
    <t>u</t>
  </si>
  <si>
    <t>Sellado de paso de cables con almohadillas intumescentes</t>
  </si>
  <si>
    <t>Sistema de sellado de paso de cables con aislamiento, de dißmetro exterior menor o igual de 80 mm, en muro, de 100 mm de espesor, a travÚs de una abertura de 200 mm de anchura y 200 mm de altura, por ambas caras, para protecci«n pasiva contra incendios y garantizar la resistencia al fuego EI 45, formado por 3 almohadillas intumescentes con propiedades ignØfugas, de 300x170x30 mm, color blanco. Se medirß el n·mero de unidades realmente ejecutadas seg·n especificaciones de Proyecto.</t>
  </si>
  <si>
    <t>Uds.</t>
  </si>
  <si>
    <t>Largo</t>
  </si>
  <si>
    <t>Ancho</t>
  </si>
  <si>
    <t>Alto</t>
  </si>
  <si>
    <t>Parcial</t>
  </si>
  <si>
    <t>Subtotal</t>
  </si>
  <si>
    <t>Previsi«n</t>
  </si>
  <si>
    <t>I_COLL</t>
  </si>
  <si>
    <t>Partida</t>
  </si>
  <si>
    <t>u</t>
  </si>
  <si>
    <t>Collarines intumescentes</t>
  </si>
  <si>
    <t>Collarines intumescentes</t>
  </si>
  <si>
    <t>Uds.</t>
  </si>
  <si>
    <t>Largo</t>
  </si>
  <si>
    <t>Ancho</t>
  </si>
  <si>
    <t>Alto</t>
  </si>
  <si>
    <t>Parcial</t>
  </si>
  <si>
    <t>Subtotal</t>
  </si>
  <si>
    <t>PREVISIËN</t>
  </si>
  <si>
    <t>0</t>
  </si>
  <si>
    <t>Dim 32</t>
  </si>
  <si>
    <t>Dim 40</t>
  </si>
  <si>
    <t>Dim 50</t>
  </si>
  <si>
    <t>Dim 63</t>
  </si>
  <si>
    <t>Dim 75</t>
  </si>
  <si>
    <t>Dim 90</t>
  </si>
  <si>
    <t>Dim 110</t>
  </si>
  <si>
    <t>SG12</t>
  </si>
  <si>
    <t>SG13</t>
  </si>
  <si>
    <t>Capítulo</t>
  </si>
  <si>
    <t>Gesti«n de residuos</t>
  </si>
  <si>
    <t>14001</t>
  </si>
  <si>
    <t>Partida</t>
  </si>
  <si>
    <t>u</t>
  </si>
  <si>
    <t>Transporte residuos inertes sin clasificar, contenedor 5 m3</t>
  </si>
  <si>
    <t>Transporte de mezcla sin clasificar de residuos inertes producidos en obras de construcci«n y/o demolici«n, con contenedor de 5 m¦, a vertedero especØfico, instalaci«n de tratamiento de residuos de construcci«n y demolici«n externa a la obra o centro de valorizaci«n o eliminaci«n de residuos. El precio incluye el viaje de ida, la descarga y el viaje de vuelta. Se medirß el n·mero de unidades realmente transportadas seg·n especificaciones de Proyecto.</t>
  </si>
  <si>
    <t>Uds.</t>
  </si>
  <si>
    <t>Largo</t>
  </si>
  <si>
    <t>Ancho</t>
  </si>
  <si>
    <t>Alto</t>
  </si>
  <si>
    <t>Parcial</t>
  </si>
  <si>
    <t>Subtotal</t>
  </si>
  <si>
    <t>PREVISIËN</t>
  </si>
  <si>
    <t>SG13</t>
  </si>
  <si>
    <t>SG14</t>
  </si>
  <si>
    <t>Capítulo</t>
  </si>
  <si>
    <t>Seguridad y salud</t>
  </si>
  <si>
    <t>10.01</t>
  </si>
  <si>
    <t>Partida</t>
  </si>
  <si>
    <t>ud</t>
  </si>
  <si>
    <t>Ejecuci«n del Estudio de Seguridad y Salud incluido en proyecto, con un nivel de exigencia alto, previa aprobaci«n por parte de la direcci«n facultativa del  Plan de Seguridad y Salud elaborado por la constructora, incluyendo en principio: instalaciones provisionales de obra y se±alizaciones, protecciones personales, protecciones colectivas; todo ello cumpliendo la reglamentaci«n vigente.</t>
  </si>
  <si>
    <t>Uds.</t>
  </si>
  <si>
    <t>Largo</t>
  </si>
  <si>
    <t>Ancho</t>
  </si>
  <si>
    <t>Alto</t>
  </si>
  <si>
    <t>Parcial</t>
  </si>
  <si>
    <t>Subtotal</t>
  </si>
  <si>
    <t>SG14</t>
  </si>
  <si>
    <t>SGV0016.03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</si>
</sst>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rgb="FF000000"/>
      <name val="Verdana"/>
      <family val="2"/>
    </font>
    <font>
      <b/>
      <sz val="10.050000000000001"/>
      <color rgb="FF000000"/>
      <name val="Arial"/>
      <family val="2"/>
    </font>
    <font>
      <sz val="7.9"/>
      <color rgb="FF000000"/>
      <name val="Arial"/>
      <family val="2"/>
    </font>
    <font>
      <b/>
      <sz val="9.1"/>
      <color rgb="FF000000"/>
      <name val="Arial"/>
      <family val="2"/>
    </font>
    <font>
      <b/>
      <sz val="7.9"/>
      <color rgb="FF000000"/>
      <name val="Arial"/>
      <family val="2"/>
    </font>
    <font>
      <sz val="7.9"/>
      <color rgb="FF808080"/>
      <name val="Arial"/>
      <family val="2"/>
    </font>
    <font>
      <sz val="7.9"/>
      <color rgb="FF10101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63">
    <xf numFmtId="0" fontId="0" fillId="0" borderId="0" xfId="0" applyAlignment="1">
      <alignment horizontal="left" vertical="center"/>
    </xf>
    <xf numFmtId="0" fontId="1" fillId="2" borderId="0" xfId="0" applyFont="1" applyFill="1" applyAlignment="1">
      <alignment horizontal="right" vertical="top" wrapText="1"/>
    </xf>
    <xf numFmtId="0" fontId="0" fillId="0" borderId="0" xfId="0" applyAlignment="1">
      <alignment horizontal="lef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0" fillId="0" borderId="0" xfId="0" applyAlignment="1">
      <alignment horizontal="center" vertical="center"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4" fontId="2" fillId="0" borderId="0" xfId="0" applyNumberFormat="1" applyFont="1" applyAlignment="1">
      <alignment horizontal="right" vertical="top"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4" fontId="2" fillId="0" borderId="4" xfId="0" applyNumberFormat="1" applyFont="1" applyBorder="1" applyAlignment="1">
      <alignment horizontal="right" vertical="top" wrapText="1"/>
    </xf>
    <xf numFmtId="4" fontId="5" fillId="0" borderId="0" xfId="0" applyNumberFormat="1" applyFont="1" applyAlignment="1">
      <alignment horizontal="right" vertical="top" wrapText="1"/>
    </xf>
    <xf numFmtId="4" fontId="5" fillId="0" borderId="4" xfId="0" applyNumberFormat="1" applyFont="1" applyBorder="1" applyAlignment="1">
      <alignment horizontal="right" vertical="top" wrapText="1"/>
    </xf>
    <xf numFmtId="4" fontId="6" fillId="0" borderId="0" xfId="0" applyNumberFormat="1" applyFont="1" applyAlignment="1">
      <alignment horizontal="right" vertical="top" wrapText="1"/>
    </xf>
    <xf numFmtId="4" fontId="6" fillId="0" borderId="4" xfId="0" applyNumberFormat="1" applyFont="1" applyBorder="1" applyAlignment="1">
      <alignment horizontal="right" vertical="top" wrapText="1"/>
    </xf>
    <xf numFmtId="0" fontId="5" fillId="0" borderId="4" xfId="0" applyFont="1" applyBorder="1" applyAlignment="1">
      <alignment horizontal="right" vertical="top"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4" fillId="5" borderId="0" xfId="0" applyFont="1" applyFill="1" applyAlignment="1">
      <alignment horizontal="justify" vertical="top" wrapText="1"/>
    </xf>
    <xf numFmtId="0" fontId="2" fillId="0" borderId="0" xfId="0" applyFont="1" applyAlignment="1">
      <alignment horizontal="justify" vertical="top" wrapText="1"/>
    </xf>
    <xf numFmtId="0" fontId="4" fillId="5" borderId="2" xfId="0" applyFont="1" applyFill="1" applyBorder="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83"/>
  <sheetViews>
    <sheetView tabSelected="1" view="pageLayout" workbookViewId="0"/>
  </sheetViews>
  <sheetFormatPr baseColWidth="10" defaultRowHeight="15" x14ac:dyDescent="0.2"/>
  <cols>
    <col min="1" max="1" width="6.59765625" customWidth="1"/>
    <col min="2" max="2" width="5.796875" customWidth="1"/>
    <col min="3" max="3" width="2.796875" customWidth="1"/>
    <col min="4" max="4" width="15.69921875" customWidth="1"/>
    <col min="5" max="5" width="9.19921875" customWidth="1"/>
    <col min="6" max="7" width="5" customWidth="1"/>
    <col min="8" max="8" width="5.09765625" customWidth="1"/>
    <col min="9" max="9" width="4.3984375" customWidth="1"/>
    <col min="10" max="10" width="5.5" customWidth="1"/>
    <col min="11" max="13" width="7.19921875" customWidth="1"/>
    <col min="14" max="14" width="11.09765625" customWidth="1"/>
  </cols>
  <sheetData>
    <row r="1" spans="1:14" ht="18" customHeight="1" thickBot="1" x14ac:dyDescent="0.25">
      <c r="A1" s="1" t="s">
        <v>0</v>
      </c>
      <c r="B1" s="56" t="s">
        <v>1</v>
      </c>
      <c r="C1" s="56"/>
      <c r="D1" s="56"/>
      <c r="E1" s="56"/>
      <c r="F1" s="56"/>
      <c r="G1" s="56"/>
      <c r="H1" s="56"/>
      <c r="I1" s="56"/>
      <c r="J1" s="56"/>
      <c r="K1" s="56"/>
      <c r="L1" s="56"/>
      <c r="M1" s="56"/>
      <c r="N1" s="2"/>
    </row>
    <row r="2" spans="1:14" ht="18" customHeight="1" thickBot="1" x14ac:dyDescent="0.25">
      <c r="A2" s="56" t="s">
        <v>2</v>
      </c>
      <c r="B2" s="56"/>
      <c r="C2" s="56"/>
      <c r="D2" s="3"/>
      <c r="E2" s="3"/>
      <c r="F2" s="3"/>
      <c r="G2" s="3"/>
      <c r="H2" s="3"/>
      <c r="I2" s="3"/>
      <c r="J2" s="3"/>
      <c r="K2" s="3"/>
      <c r="L2" s="5" t="s">
        <v>3</v>
      </c>
      <c r="M2" s="7">
        <v>0</v>
      </c>
      <c r="N2" s="8"/>
    </row>
    <row r="3" spans="1:14" ht="17.100000000000001" customHeight="1" thickBot="1" x14ac:dyDescent="0.25">
      <c r="A3" s="9" t="s">
        <v>4</v>
      </c>
      <c r="B3" s="9" t="s">
        <v>5</v>
      </c>
      <c r="C3" s="9" t="s">
        <v>6</v>
      </c>
      <c r="D3" s="9" t="s">
        <v>7</v>
      </c>
      <c r="E3" s="10"/>
      <c r="F3" s="10"/>
      <c r="G3" s="10"/>
      <c r="H3" s="10"/>
      <c r="I3" s="10"/>
      <c r="J3" s="10"/>
      <c r="K3" s="11" t="s">
        <v>8</v>
      </c>
      <c r="L3" s="11" t="s">
        <v>9</v>
      </c>
      <c r="M3" s="11" t="s">
        <v>10</v>
      </c>
      <c r="N3" s="8"/>
    </row>
    <row r="4" spans="1:14" ht="15.4" customHeight="1" thickBot="1" x14ac:dyDescent="0.25">
      <c r="A4" s="13" t="s">
        <v>11</v>
      </c>
      <c r="B4" s="13" t="s">
        <v>12</v>
      </c>
      <c r="C4" s="14"/>
      <c r="D4" s="57" t="s">
        <v>13</v>
      </c>
      <c r="E4" s="57"/>
      <c r="F4" s="57"/>
      <c r="G4" s="57"/>
      <c r="H4" s="57"/>
      <c r="I4" s="57"/>
      <c r="J4" s="57"/>
      <c r="K4" s="14"/>
      <c r="L4" s="15">
        <f>L1683</f>
        <v>932333.57</v>
      </c>
      <c r="M4" s="15">
        <f>ROUND(L4,2)</f>
        <v>932333.57</v>
      </c>
      <c r="N4" s="8"/>
    </row>
    <row r="5" spans="1:14" ht="15.4" customHeight="1" thickBot="1" x14ac:dyDescent="0.25">
      <c r="A5" s="16" t="s">
        <v>14</v>
      </c>
      <c r="B5" s="16" t="s">
        <v>15</v>
      </c>
      <c r="C5" s="17"/>
      <c r="D5" s="58" t="s">
        <v>16</v>
      </c>
      <c r="E5" s="58"/>
      <c r="F5" s="58"/>
      <c r="G5" s="58"/>
      <c r="H5" s="58"/>
      <c r="I5" s="58"/>
      <c r="J5" s="58"/>
      <c r="K5" s="17"/>
      <c r="L5" s="18">
        <f>L64</f>
        <v>12502.2</v>
      </c>
      <c r="M5" s="18">
        <f>ROUND(L5,2)</f>
        <v>12502.2</v>
      </c>
      <c r="N5" s="8"/>
    </row>
    <row r="6" spans="1:14" ht="15.4" customHeight="1" thickBot="1" x14ac:dyDescent="0.25">
      <c r="A6" s="19" t="s">
        <v>17</v>
      </c>
      <c r="B6" s="19" t="s">
        <v>18</v>
      </c>
      <c r="C6" s="20"/>
      <c r="D6" s="59" t="s">
        <v>19</v>
      </c>
      <c r="E6" s="59"/>
      <c r="F6" s="59"/>
      <c r="G6" s="59"/>
      <c r="H6" s="59"/>
      <c r="I6" s="59"/>
      <c r="J6" s="59"/>
      <c r="K6" s="20"/>
      <c r="L6" s="21">
        <f>L17</f>
        <v>3403.2300000000005</v>
      </c>
      <c r="M6" s="21">
        <f>ROUND(L6,2)</f>
        <v>3403.23</v>
      </c>
      <c r="N6" s="8"/>
    </row>
    <row r="7" spans="1:14" ht="15.4" customHeight="1" thickBot="1" x14ac:dyDescent="0.25">
      <c r="A7" s="12" t="s">
        <v>20</v>
      </c>
      <c r="B7" s="6" t="s">
        <v>21</v>
      </c>
      <c r="C7" s="6" t="s">
        <v>22</v>
      </c>
      <c r="D7" s="60" t="s">
        <v>23</v>
      </c>
      <c r="E7" s="60"/>
      <c r="F7" s="60"/>
      <c r="G7" s="60"/>
      <c r="H7" s="60"/>
      <c r="I7" s="60"/>
      <c r="J7" s="60"/>
      <c r="K7" s="22">
        <f>SUM(K10:K10)</f>
        <v>144.5</v>
      </c>
      <c r="L7" s="22">
        <f>ROUND(7.74*(1+M2/100),2)</f>
        <v>7.74</v>
      </c>
      <c r="M7" s="22">
        <f>ROUND(K7*L7,2)</f>
        <v>1118.43</v>
      </c>
      <c r="N7" s="8"/>
    </row>
    <row r="8" spans="1:14" ht="12.2" customHeight="1" thickBot="1" x14ac:dyDescent="0.25">
      <c r="A8" s="8"/>
      <c r="B8" s="8"/>
      <c r="C8" s="8"/>
      <c r="D8" s="60" t="s">
        <v>24</v>
      </c>
      <c r="E8" s="60"/>
      <c r="F8" s="60"/>
      <c r="G8" s="60"/>
      <c r="H8" s="60"/>
      <c r="I8" s="60"/>
      <c r="J8" s="60"/>
      <c r="K8" s="60"/>
      <c r="L8" s="60"/>
      <c r="M8" s="60"/>
      <c r="N8" s="8"/>
    </row>
    <row r="9" spans="1:14" ht="15.4" customHeight="1" thickBot="1" x14ac:dyDescent="0.25">
      <c r="A9" s="8"/>
      <c r="B9" s="8"/>
      <c r="C9" s="8"/>
      <c r="D9" s="8"/>
      <c r="E9" s="23"/>
      <c r="F9" s="25" t="s">
        <v>25</v>
      </c>
      <c r="G9" s="25" t="s">
        <v>26</v>
      </c>
      <c r="H9" s="25" t="s">
        <v>27</v>
      </c>
      <c r="I9" s="25" t="s">
        <v>28</v>
      </c>
      <c r="J9" s="25" t="s">
        <v>29</v>
      </c>
      <c r="K9" s="25" t="s">
        <v>30</v>
      </c>
      <c r="L9" s="8"/>
      <c r="M9" s="8"/>
      <c r="N9" s="8"/>
    </row>
    <row r="10" spans="1:14" ht="21.6" customHeight="1" thickBot="1" x14ac:dyDescent="0.25">
      <c r="A10" s="8"/>
      <c r="B10" s="8"/>
      <c r="C10" s="8"/>
      <c r="D10" s="26"/>
      <c r="E10" s="27" t="s">
        <v>31</v>
      </c>
      <c r="F10" s="28">
        <v>17</v>
      </c>
      <c r="G10" s="29">
        <v>8.5</v>
      </c>
      <c r="H10" s="29"/>
      <c r="I10" s="29"/>
      <c r="J10" s="31">
        <f>ROUND(F10*G10,2)</f>
        <v>144.5</v>
      </c>
      <c r="K10" s="33">
        <f>SUM(J10:J10)</f>
        <v>144.5</v>
      </c>
      <c r="L10" s="8"/>
      <c r="M10" s="8"/>
      <c r="N10" s="8"/>
    </row>
    <row r="11" spans="1:14" ht="15.4" customHeight="1" thickBot="1" x14ac:dyDescent="0.25">
      <c r="A11" s="12" t="s">
        <v>32</v>
      </c>
      <c r="B11" s="6" t="s">
        <v>33</v>
      </c>
      <c r="C11" s="6" t="s">
        <v>34</v>
      </c>
      <c r="D11" s="60" t="s">
        <v>35</v>
      </c>
      <c r="E11" s="60"/>
      <c r="F11" s="60"/>
      <c r="G11" s="60"/>
      <c r="H11" s="60"/>
      <c r="I11" s="60"/>
      <c r="J11" s="60"/>
      <c r="K11" s="22">
        <f>SUM(K14:K16)</f>
        <v>160</v>
      </c>
      <c r="L11" s="22">
        <f>ROUND(14.28*(1+M2/100),2)</f>
        <v>14.28</v>
      </c>
      <c r="M11" s="22">
        <f>ROUND(K11*L11,2)</f>
        <v>2284.8000000000002</v>
      </c>
      <c r="N11" s="8"/>
    </row>
    <row r="12" spans="1:14" ht="21.6" customHeight="1" thickBot="1" x14ac:dyDescent="0.25">
      <c r="A12" s="8"/>
      <c r="B12" s="8"/>
      <c r="C12" s="8"/>
      <c r="D12" s="60" t="s">
        <v>36</v>
      </c>
      <c r="E12" s="60"/>
      <c r="F12" s="60"/>
      <c r="G12" s="60"/>
      <c r="H12" s="60"/>
      <c r="I12" s="60"/>
      <c r="J12" s="60"/>
      <c r="K12" s="60"/>
      <c r="L12" s="60"/>
      <c r="M12" s="60"/>
      <c r="N12" s="8"/>
    </row>
    <row r="13" spans="1:14" ht="15.4" customHeight="1" thickBot="1" x14ac:dyDescent="0.25">
      <c r="A13" s="8"/>
      <c r="B13" s="8"/>
      <c r="C13" s="8"/>
      <c r="D13" s="8"/>
      <c r="E13" s="23"/>
      <c r="F13" s="25" t="s">
        <v>37</v>
      </c>
      <c r="G13" s="25" t="s">
        <v>38</v>
      </c>
      <c r="H13" s="25" t="s">
        <v>39</v>
      </c>
      <c r="I13" s="25" t="s">
        <v>40</v>
      </c>
      <c r="J13" s="25" t="s">
        <v>41</v>
      </c>
      <c r="K13" s="25" t="s">
        <v>42</v>
      </c>
      <c r="L13" s="8"/>
      <c r="M13" s="8"/>
      <c r="N13" s="8"/>
    </row>
    <row r="14" spans="1:14" ht="15.4" customHeight="1" thickBot="1" x14ac:dyDescent="0.25">
      <c r="A14" s="8"/>
      <c r="B14" s="8"/>
      <c r="C14" s="8"/>
      <c r="D14" s="26"/>
      <c r="E14" s="27" t="s">
        <v>43</v>
      </c>
      <c r="F14" s="28"/>
      <c r="G14" s="29"/>
      <c r="H14" s="29"/>
      <c r="I14" s="29"/>
      <c r="J14" s="34" t="s">
        <v>44</v>
      </c>
      <c r="K14" s="35"/>
      <c r="L14" s="8"/>
      <c r="M14" s="8"/>
      <c r="N14" s="8"/>
    </row>
    <row r="15" spans="1:14" ht="21.6" customHeight="1" thickBot="1" x14ac:dyDescent="0.25">
      <c r="A15" s="8"/>
      <c r="B15" s="8"/>
      <c r="C15" s="8"/>
      <c r="D15" s="26"/>
      <c r="E15" s="6" t="s">
        <v>45</v>
      </c>
      <c r="F15" s="4">
        <v>1</v>
      </c>
      <c r="G15" s="22">
        <v>290</v>
      </c>
      <c r="H15" s="22"/>
      <c r="I15" s="22"/>
      <c r="J15" s="30">
        <f>ROUND(F15*G15,2)</f>
        <v>290</v>
      </c>
      <c r="K15" s="8"/>
      <c r="L15" s="8"/>
      <c r="M15" s="8"/>
      <c r="N15" s="8"/>
    </row>
    <row r="16" spans="1:14" ht="15.4" customHeight="1" thickBot="1" x14ac:dyDescent="0.25">
      <c r="A16" s="8"/>
      <c r="B16" s="8"/>
      <c r="C16" s="8"/>
      <c r="D16" s="26"/>
      <c r="E16" s="6"/>
      <c r="F16" s="4">
        <v>-1</v>
      </c>
      <c r="G16" s="22">
        <v>130</v>
      </c>
      <c r="H16" s="22"/>
      <c r="I16" s="22"/>
      <c r="J16" s="30">
        <f>ROUND(F16*G16,2)</f>
        <v>-130</v>
      </c>
      <c r="K16" s="32">
        <f>SUM(J14:J16)</f>
        <v>160</v>
      </c>
      <c r="L16" s="8"/>
      <c r="M16" s="8"/>
      <c r="N16" s="8"/>
    </row>
    <row r="17" spans="1:14" ht="15.4" customHeight="1" thickBot="1" x14ac:dyDescent="0.25">
      <c r="A17" s="36"/>
      <c r="B17" s="36"/>
      <c r="C17" s="36"/>
      <c r="D17" s="37" t="s">
        <v>46</v>
      </c>
      <c r="E17" s="38"/>
      <c r="F17" s="38"/>
      <c r="G17" s="38"/>
      <c r="H17" s="38"/>
      <c r="I17" s="38"/>
      <c r="J17" s="38"/>
      <c r="K17" s="38"/>
      <c r="L17" s="39">
        <f>M7+M11</f>
        <v>3403.2300000000005</v>
      </c>
      <c r="M17" s="39">
        <f>ROUND(L17,2)</f>
        <v>3403.23</v>
      </c>
      <c r="N17" s="8"/>
    </row>
    <row r="18" spans="1:14" ht="15.4" customHeight="1" thickBot="1" x14ac:dyDescent="0.25">
      <c r="A18" s="40" t="s">
        <v>47</v>
      </c>
      <c r="B18" s="40" t="s">
        <v>48</v>
      </c>
      <c r="C18" s="41"/>
      <c r="D18" s="61" t="s">
        <v>49</v>
      </c>
      <c r="E18" s="61"/>
      <c r="F18" s="61"/>
      <c r="G18" s="61"/>
      <c r="H18" s="61"/>
      <c r="I18" s="61"/>
      <c r="J18" s="61"/>
      <c r="K18" s="41"/>
      <c r="L18" s="42">
        <f>L24</f>
        <v>858.23</v>
      </c>
      <c r="M18" s="42">
        <f>ROUND(L18,2)</f>
        <v>858.23</v>
      </c>
      <c r="N18" s="8"/>
    </row>
    <row r="19" spans="1:14" ht="15.4" customHeight="1" thickBot="1" x14ac:dyDescent="0.25">
      <c r="A19" s="12" t="s">
        <v>50</v>
      </c>
      <c r="B19" s="6" t="s">
        <v>51</v>
      </c>
      <c r="C19" s="6" t="s">
        <v>52</v>
      </c>
      <c r="D19" s="60" t="s">
        <v>53</v>
      </c>
      <c r="E19" s="60"/>
      <c r="F19" s="60"/>
      <c r="G19" s="60"/>
      <c r="H19" s="60"/>
      <c r="I19" s="60"/>
      <c r="J19" s="60"/>
      <c r="K19" s="22">
        <f>SUM(K22:K23)</f>
        <v>18.03</v>
      </c>
      <c r="L19" s="22">
        <f>ROUND(47.6*(1+M2/100),2)</f>
        <v>47.6</v>
      </c>
      <c r="M19" s="22">
        <f>ROUND(K19*L19,2)</f>
        <v>858.23</v>
      </c>
      <c r="N19" s="8"/>
    </row>
    <row r="20" spans="1:14" ht="21.6" customHeight="1" thickBot="1" x14ac:dyDescent="0.25">
      <c r="A20" s="8"/>
      <c r="B20" s="8"/>
      <c r="C20" s="8"/>
      <c r="D20" s="60" t="s">
        <v>54</v>
      </c>
      <c r="E20" s="60"/>
      <c r="F20" s="60"/>
      <c r="G20" s="60"/>
      <c r="H20" s="60"/>
      <c r="I20" s="60"/>
      <c r="J20" s="60"/>
      <c r="K20" s="60"/>
      <c r="L20" s="60"/>
      <c r="M20" s="60"/>
      <c r="N20" s="8"/>
    </row>
    <row r="21" spans="1:14" ht="15.4" customHeight="1" thickBot="1" x14ac:dyDescent="0.25">
      <c r="A21" s="8"/>
      <c r="B21" s="8"/>
      <c r="C21" s="8"/>
      <c r="D21" s="8"/>
      <c r="E21" s="23"/>
      <c r="F21" s="25" t="s">
        <v>55</v>
      </c>
      <c r="G21" s="25" t="s">
        <v>56</v>
      </c>
      <c r="H21" s="25" t="s">
        <v>57</v>
      </c>
      <c r="I21" s="25" t="s">
        <v>58</v>
      </c>
      <c r="J21" s="25" t="s">
        <v>59</v>
      </c>
      <c r="K21" s="25" t="s">
        <v>60</v>
      </c>
      <c r="L21" s="8"/>
      <c r="M21" s="8"/>
      <c r="N21" s="8"/>
    </row>
    <row r="22" spans="1:14" ht="15.4" customHeight="1" thickBot="1" x14ac:dyDescent="0.25">
      <c r="A22" s="8"/>
      <c r="B22" s="8"/>
      <c r="C22" s="8"/>
      <c r="D22" s="26"/>
      <c r="E22" s="27" t="s">
        <v>61</v>
      </c>
      <c r="F22" s="28">
        <v>1</v>
      </c>
      <c r="G22" s="29">
        <v>3.7</v>
      </c>
      <c r="H22" s="29">
        <v>3.25</v>
      </c>
      <c r="I22" s="29"/>
      <c r="J22" s="31">
        <f>ROUND(F22*G22*H22,2)</f>
        <v>12.03</v>
      </c>
      <c r="K22" s="35"/>
      <c r="L22" s="8"/>
      <c r="M22" s="8"/>
      <c r="N22" s="8"/>
    </row>
    <row r="23" spans="1:14" ht="30.95" customHeight="1" thickBot="1" x14ac:dyDescent="0.25">
      <c r="A23" s="8"/>
      <c r="B23" s="8"/>
      <c r="C23" s="8"/>
      <c r="D23" s="26"/>
      <c r="E23" s="6" t="s">
        <v>62</v>
      </c>
      <c r="F23" s="4">
        <v>3</v>
      </c>
      <c r="G23" s="22">
        <v>2</v>
      </c>
      <c r="H23" s="22"/>
      <c r="I23" s="22"/>
      <c r="J23" s="30">
        <f>ROUND(F23*G23,2)</f>
        <v>6</v>
      </c>
      <c r="K23" s="32">
        <f>SUM(J22:J23)</f>
        <v>18.03</v>
      </c>
      <c r="L23" s="8"/>
      <c r="M23" s="8"/>
      <c r="N23" s="8"/>
    </row>
    <row r="24" spans="1:14" ht="15.4" customHeight="1" thickBot="1" x14ac:dyDescent="0.25">
      <c r="A24" s="36"/>
      <c r="B24" s="36"/>
      <c r="C24" s="36"/>
      <c r="D24" s="37" t="s">
        <v>63</v>
      </c>
      <c r="E24" s="38"/>
      <c r="F24" s="38"/>
      <c r="G24" s="38"/>
      <c r="H24" s="38"/>
      <c r="I24" s="38"/>
      <c r="J24" s="38"/>
      <c r="K24" s="38"/>
      <c r="L24" s="39">
        <f>M19</f>
        <v>858.23</v>
      </c>
      <c r="M24" s="39">
        <f>ROUND(L24,2)</f>
        <v>858.23</v>
      </c>
      <c r="N24" s="8"/>
    </row>
    <row r="25" spans="1:14" ht="15.4" customHeight="1" thickBot="1" x14ac:dyDescent="0.25">
      <c r="A25" s="40" t="s">
        <v>64</v>
      </c>
      <c r="B25" s="40" t="s">
        <v>65</v>
      </c>
      <c r="C25" s="41"/>
      <c r="D25" s="61" t="s">
        <v>66</v>
      </c>
      <c r="E25" s="61"/>
      <c r="F25" s="61"/>
      <c r="G25" s="61"/>
      <c r="H25" s="61"/>
      <c r="I25" s="61"/>
      <c r="J25" s="61"/>
      <c r="K25" s="41"/>
      <c r="L25" s="42">
        <f>L51</f>
        <v>7390.99</v>
      </c>
      <c r="M25" s="42">
        <f>ROUND(L25,2)</f>
        <v>7390.99</v>
      </c>
      <c r="N25" s="8"/>
    </row>
    <row r="26" spans="1:14" ht="15.4" customHeight="1" thickBot="1" x14ac:dyDescent="0.25">
      <c r="A26" s="12" t="s">
        <v>67</v>
      </c>
      <c r="B26" s="6" t="s">
        <v>68</v>
      </c>
      <c r="C26" s="6" t="s">
        <v>69</v>
      </c>
      <c r="D26" s="60" t="s">
        <v>70</v>
      </c>
      <c r="E26" s="60"/>
      <c r="F26" s="60"/>
      <c r="G26" s="60"/>
      <c r="H26" s="60"/>
      <c r="I26" s="60"/>
      <c r="J26" s="60"/>
      <c r="K26" s="22">
        <f>SUM(K29:K37)</f>
        <v>130.71</v>
      </c>
      <c r="L26" s="22">
        <f>ROUND(27.23*(1+M2/100),2)</f>
        <v>27.23</v>
      </c>
      <c r="M26" s="22">
        <f>ROUND(K26*L26,2)</f>
        <v>3559.23</v>
      </c>
      <c r="N26" s="8"/>
    </row>
    <row r="27" spans="1:14" ht="30.95" customHeight="1" thickBot="1" x14ac:dyDescent="0.25">
      <c r="A27" s="8"/>
      <c r="B27" s="8"/>
      <c r="C27" s="8"/>
      <c r="D27" s="60" t="s">
        <v>71</v>
      </c>
      <c r="E27" s="60"/>
      <c r="F27" s="60"/>
      <c r="G27" s="60"/>
      <c r="H27" s="60"/>
      <c r="I27" s="60"/>
      <c r="J27" s="60"/>
      <c r="K27" s="60"/>
      <c r="L27" s="60"/>
      <c r="M27" s="60"/>
      <c r="N27" s="8"/>
    </row>
    <row r="28" spans="1:14" ht="15.4" customHeight="1" thickBot="1" x14ac:dyDescent="0.25">
      <c r="A28" s="8"/>
      <c r="B28" s="8"/>
      <c r="C28" s="8"/>
      <c r="D28" s="8"/>
      <c r="E28" s="23"/>
      <c r="F28" s="25" t="s">
        <v>72</v>
      </c>
      <c r="G28" s="25" t="s">
        <v>73</v>
      </c>
      <c r="H28" s="25" t="s">
        <v>74</v>
      </c>
      <c r="I28" s="25" t="s">
        <v>75</v>
      </c>
      <c r="J28" s="25" t="s">
        <v>76</v>
      </c>
      <c r="K28" s="25" t="s">
        <v>77</v>
      </c>
      <c r="L28" s="8"/>
      <c r="M28" s="8"/>
      <c r="N28" s="8"/>
    </row>
    <row r="29" spans="1:14" ht="21.6" customHeight="1" thickBot="1" x14ac:dyDescent="0.25">
      <c r="A29" s="8"/>
      <c r="B29" s="8"/>
      <c r="C29" s="8"/>
      <c r="D29" s="26"/>
      <c r="E29" s="27" t="s">
        <v>78</v>
      </c>
      <c r="F29" s="28"/>
      <c r="G29" s="29"/>
      <c r="H29" s="29"/>
      <c r="I29" s="29"/>
      <c r="J29" s="34" t="s">
        <v>79</v>
      </c>
      <c r="K29" s="35"/>
      <c r="L29" s="8"/>
      <c r="M29" s="8"/>
      <c r="N29" s="8"/>
    </row>
    <row r="30" spans="1:14" ht="15.4" customHeight="1" thickBot="1" x14ac:dyDescent="0.25">
      <c r="A30" s="8"/>
      <c r="B30" s="8"/>
      <c r="C30" s="8"/>
      <c r="D30" s="26"/>
      <c r="E30" s="6"/>
      <c r="F30" s="4">
        <v>3</v>
      </c>
      <c r="G30" s="22">
        <v>2.35</v>
      </c>
      <c r="H30" s="22"/>
      <c r="I30" s="22">
        <v>3</v>
      </c>
      <c r="J30" s="30">
        <f t="shared" ref="J30:J37" si="0">ROUND(F30*G30*I30,2)</f>
        <v>21.15</v>
      </c>
      <c r="K30" s="8"/>
      <c r="L30" s="8"/>
      <c r="M30" s="8"/>
      <c r="N30" s="8"/>
    </row>
    <row r="31" spans="1:14" ht="15.4" customHeight="1" thickBot="1" x14ac:dyDescent="0.25">
      <c r="A31" s="8"/>
      <c r="B31" s="8"/>
      <c r="C31" s="8"/>
      <c r="D31" s="26"/>
      <c r="E31" s="6"/>
      <c r="F31" s="4">
        <v>2</v>
      </c>
      <c r="G31" s="22">
        <v>2.8</v>
      </c>
      <c r="H31" s="22"/>
      <c r="I31" s="22">
        <v>3</v>
      </c>
      <c r="J31" s="30">
        <f t="shared" si="0"/>
        <v>16.8</v>
      </c>
      <c r="K31" s="8"/>
      <c r="L31" s="8"/>
      <c r="M31" s="8"/>
      <c r="N31" s="8"/>
    </row>
    <row r="32" spans="1:14" ht="15.4" customHeight="1" thickBot="1" x14ac:dyDescent="0.25">
      <c r="A32" s="8"/>
      <c r="B32" s="8"/>
      <c r="C32" s="8"/>
      <c r="D32" s="26"/>
      <c r="E32" s="6"/>
      <c r="F32" s="4">
        <v>1</v>
      </c>
      <c r="G32" s="22">
        <v>1.75</v>
      </c>
      <c r="H32" s="22"/>
      <c r="I32" s="22">
        <v>3</v>
      </c>
      <c r="J32" s="30">
        <f t="shared" si="0"/>
        <v>5.25</v>
      </c>
      <c r="K32" s="8"/>
      <c r="L32" s="8"/>
      <c r="M32" s="8"/>
      <c r="N32" s="8"/>
    </row>
    <row r="33" spans="1:14" ht="15.4" customHeight="1" thickBot="1" x14ac:dyDescent="0.25">
      <c r="A33" s="8"/>
      <c r="B33" s="8"/>
      <c r="C33" s="8"/>
      <c r="D33" s="26"/>
      <c r="E33" s="6"/>
      <c r="F33" s="4">
        <v>5</v>
      </c>
      <c r="G33" s="22">
        <v>3</v>
      </c>
      <c r="H33" s="22"/>
      <c r="I33" s="22">
        <v>3</v>
      </c>
      <c r="J33" s="30">
        <f t="shared" si="0"/>
        <v>45</v>
      </c>
      <c r="K33" s="8"/>
      <c r="L33" s="8"/>
      <c r="M33" s="8"/>
      <c r="N33" s="8"/>
    </row>
    <row r="34" spans="1:14" ht="15.4" customHeight="1" thickBot="1" x14ac:dyDescent="0.25">
      <c r="A34" s="8"/>
      <c r="B34" s="8"/>
      <c r="C34" s="8"/>
      <c r="D34" s="26"/>
      <c r="E34" s="6"/>
      <c r="F34" s="4">
        <v>3</v>
      </c>
      <c r="G34" s="22">
        <v>2.2999999999999998</v>
      </c>
      <c r="H34" s="22"/>
      <c r="I34" s="22">
        <v>3</v>
      </c>
      <c r="J34" s="30">
        <f t="shared" si="0"/>
        <v>20.7</v>
      </c>
      <c r="K34" s="8"/>
      <c r="L34" s="8"/>
      <c r="M34" s="8"/>
      <c r="N34" s="8"/>
    </row>
    <row r="35" spans="1:14" ht="15.4" customHeight="1" thickBot="1" x14ac:dyDescent="0.25">
      <c r="A35" s="8"/>
      <c r="B35" s="8"/>
      <c r="C35" s="8"/>
      <c r="D35" s="26"/>
      <c r="E35" s="6"/>
      <c r="F35" s="4">
        <v>1</v>
      </c>
      <c r="G35" s="22">
        <v>2</v>
      </c>
      <c r="H35" s="22"/>
      <c r="I35" s="22">
        <v>3</v>
      </c>
      <c r="J35" s="30">
        <f t="shared" si="0"/>
        <v>6</v>
      </c>
      <c r="K35" s="8"/>
      <c r="L35" s="8"/>
      <c r="M35" s="8"/>
      <c r="N35" s="8"/>
    </row>
    <row r="36" spans="1:14" ht="15.4" customHeight="1" thickBot="1" x14ac:dyDescent="0.25">
      <c r="A36" s="8"/>
      <c r="B36" s="8"/>
      <c r="C36" s="8"/>
      <c r="D36" s="26"/>
      <c r="E36" s="6"/>
      <c r="F36" s="4">
        <v>1</v>
      </c>
      <c r="G36" s="22">
        <v>3.12</v>
      </c>
      <c r="H36" s="22"/>
      <c r="I36" s="22">
        <v>3</v>
      </c>
      <c r="J36" s="30">
        <f t="shared" si="0"/>
        <v>9.36</v>
      </c>
      <c r="K36" s="8"/>
      <c r="L36" s="8"/>
      <c r="M36" s="8"/>
      <c r="N36" s="8"/>
    </row>
    <row r="37" spans="1:14" ht="15.4" customHeight="1" thickBot="1" x14ac:dyDescent="0.25">
      <c r="A37" s="8"/>
      <c r="B37" s="8"/>
      <c r="C37" s="8"/>
      <c r="D37" s="26"/>
      <c r="E37" s="6"/>
      <c r="F37" s="4">
        <v>1</v>
      </c>
      <c r="G37" s="22">
        <v>2.15</v>
      </c>
      <c r="H37" s="22"/>
      <c r="I37" s="22">
        <v>3</v>
      </c>
      <c r="J37" s="30">
        <f t="shared" si="0"/>
        <v>6.45</v>
      </c>
      <c r="K37" s="32">
        <f>SUM(J29:J37)</f>
        <v>130.71</v>
      </c>
      <c r="L37" s="8"/>
      <c r="M37" s="8"/>
      <c r="N37" s="8"/>
    </row>
    <row r="38" spans="1:14" ht="15.4" customHeight="1" thickBot="1" x14ac:dyDescent="0.25">
      <c r="A38" s="12" t="s">
        <v>80</v>
      </c>
      <c r="B38" s="6" t="s">
        <v>81</v>
      </c>
      <c r="C38" s="6" t="s">
        <v>82</v>
      </c>
      <c r="D38" s="60" t="s">
        <v>83</v>
      </c>
      <c r="E38" s="60"/>
      <c r="F38" s="60"/>
      <c r="G38" s="60"/>
      <c r="H38" s="60"/>
      <c r="I38" s="60"/>
      <c r="J38" s="60"/>
      <c r="K38" s="22">
        <f>SUM(K41:K41)</f>
        <v>9.6</v>
      </c>
      <c r="L38" s="22">
        <f>ROUND(17.85*(1+M2/100),2)</f>
        <v>17.850000000000001</v>
      </c>
      <c r="M38" s="22">
        <f>ROUND(K38*L38,2)</f>
        <v>171.36</v>
      </c>
      <c r="N38" s="8"/>
    </row>
    <row r="39" spans="1:14" ht="30.95" customHeight="1" thickBot="1" x14ac:dyDescent="0.25">
      <c r="A39" s="8"/>
      <c r="B39" s="8"/>
      <c r="C39" s="8"/>
      <c r="D39" s="60" t="s">
        <v>84</v>
      </c>
      <c r="E39" s="60"/>
      <c r="F39" s="60"/>
      <c r="G39" s="60"/>
      <c r="H39" s="60"/>
      <c r="I39" s="60"/>
      <c r="J39" s="60"/>
      <c r="K39" s="60"/>
      <c r="L39" s="60"/>
      <c r="M39" s="60"/>
      <c r="N39" s="8"/>
    </row>
    <row r="40" spans="1:14" ht="15.4" customHeight="1" thickBot="1" x14ac:dyDescent="0.25">
      <c r="A40" s="8"/>
      <c r="B40" s="8"/>
      <c r="C40" s="8"/>
      <c r="D40" s="8"/>
      <c r="E40" s="23"/>
      <c r="F40" s="25" t="s">
        <v>85</v>
      </c>
      <c r="G40" s="25" t="s">
        <v>86</v>
      </c>
      <c r="H40" s="25" t="s">
        <v>87</v>
      </c>
      <c r="I40" s="25" t="s">
        <v>88</v>
      </c>
      <c r="J40" s="25" t="s">
        <v>89</v>
      </c>
      <c r="K40" s="25" t="s">
        <v>90</v>
      </c>
      <c r="L40" s="8"/>
      <c r="M40" s="8"/>
      <c r="N40" s="8"/>
    </row>
    <row r="41" spans="1:14" ht="21.6" customHeight="1" thickBot="1" x14ac:dyDescent="0.25">
      <c r="A41" s="8"/>
      <c r="B41" s="8"/>
      <c r="C41" s="8"/>
      <c r="D41" s="26"/>
      <c r="E41" s="27" t="s">
        <v>91</v>
      </c>
      <c r="F41" s="28">
        <v>3</v>
      </c>
      <c r="G41" s="29">
        <v>3.2</v>
      </c>
      <c r="H41" s="29"/>
      <c r="I41" s="29"/>
      <c r="J41" s="31">
        <f>ROUND(F41*G41,2)</f>
        <v>9.6</v>
      </c>
      <c r="K41" s="33">
        <f>SUM(J41:J41)</f>
        <v>9.6</v>
      </c>
      <c r="L41" s="8"/>
      <c r="M41" s="8"/>
      <c r="N41" s="8"/>
    </row>
    <row r="42" spans="1:14" ht="15.4" customHeight="1" thickBot="1" x14ac:dyDescent="0.25">
      <c r="A42" s="12" t="s">
        <v>92</v>
      </c>
      <c r="B42" s="6" t="s">
        <v>93</v>
      </c>
      <c r="C42" s="6" t="s">
        <v>94</v>
      </c>
      <c r="D42" s="60" t="s">
        <v>95</v>
      </c>
      <c r="E42" s="60"/>
      <c r="F42" s="60"/>
      <c r="G42" s="60"/>
      <c r="H42" s="60"/>
      <c r="I42" s="60"/>
      <c r="J42" s="60"/>
      <c r="K42" s="22">
        <f>SUM(K45:K45)</f>
        <v>50</v>
      </c>
      <c r="L42" s="22">
        <f>ROUND(71.4*(1+M2/100),2)</f>
        <v>71.400000000000006</v>
      </c>
      <c r="M42" s="22">
        <f>ROUND(K42*L42,2)</f>
        <v>3570</v>
      </c>
      <c r="N42" s="8"/>
    </row>
    <row r="43" spans="1:14" ht="77.849999999999994" customHeight="1" thickBot="1" x14ac:dyDescent="0.25">
      <c r="A43" s="8"/>
      <c r="B43" s="8"/>
      <c r="C43" s="8"/>
      <c r="D43" s="60" t="s">
        <v>96</v>
      </c>
      <c r="E43" s="60"/>
      <c r="F43" s="60"/>
      <c r="G43" s="60"/>
      <c r="H43" s="60"/>
      <c r="I43" s="60"/>
      <c r="J43" s="60"/>
      <c r="K43" s="60"/>
      <c r="L43" s="60"/>
      <c r="M43" s="60"/>
      <c r="N43" s="8"/>
    </row>
    <row r="44" spans="1:14" ht="15.4" customHeight="1" thickBot="1" x14ac:dyDescent="0.25">
      <c r="A44" s="8"/>
      <c r="B44" s="8"/>
      <c r="C44" s="8"/>
      <c r="D44" s="8"/>
      <c r="E44" s="23"/>
      <c r="F44" s="25" t="s">
        <v>97</v>
      </c>
      <c r="G44" s="25" t="s">
        <v>98</v>
      </c>
      <c r="H44" s="25" t="s">
        <v>99</v>
      </c>
      <c r="I44" s="25" t="s">
        <v>100</v>
      </c>
      <c r="J44" s="25" t="s">
        <v>101</v>
      </c>
      <c r="K44" s="25" t="s">
        <v>102</v>
      </c>
      <c r="L44" s="8"/>
      <c r="M44" s="8"/>
      <c r="N44" s="8"/>
    </row>
    <row r="45" spans="1:14" ht="21.6" customHeight="1" thickBot="1" x14ac:dyDescent="0.25">
      <c r="A45" s="8"/>
      <c r="B45" s="8"/>
      <c r="C45" s="8"/>
      <c r="D45" s="26"/>
      <c r="E45" s="27" t="s">
        <v>103</v>
      </c>
      <c r="F45" s="28">
        <v>1</v>
      </c>
      <c r="G45" s="29">
        <v>50</v>
      </c>
      <c r="H45" s="29"/>
      <c r="I45" s="29"/>
      <c r="J45" s="31">
        <f>ROUND(F45*G45,2)</f>
        <v>50</v>
      </c>
      <c r="K45" s="33">
        <f>SUM(J45:J45)</f>
        <v>50</v>
      </c>
      <c r="L45" s="8"/>
      <c r="M45" s="8"/>
      <c r="N45" s="8"/>
    </row>
    <row r="46" spans="1:14" ht="15.4" customHeight="1" thickBot="1" x14ac:dyDescent="0.25">
      <c r="A46" s="12" t="s">
        <v>104</v>
      </c>
      <c r="B46" s="6" t="s">
        <v>105</v>
      </c>
      <c r="C46" s="6" t="s">
        <v>106</v>
      </c>
      <c r="D46" s="60" t="s">
        <v>107</v>
      </c>
      <c r="E46" s="60"/>
      <c r="F46" s="60"/>
      <c r="G46" s="60"/>
      <c r="H46" s="60"/>
      <c r="I46" s="60"/>
      <c r="J46" s="60"/>
      <c r="K46" s="22">
        <f>SUM(K49:K50)</f>
        <v>8</v>
      </c>
      <c r="L46" s="22">
        <f>ROUND(11.3*(1+M2/100),2)</f>
        <v>11.3</v>
      </c>
      <c r="M46" s="22">
        <f>ROUND(K46*L46,2)</f>
        <v>90.4</v>
      </c>
      <c r="N46" s="8"/>
    </row>
    <row r="47" spans="1:14" ht="30.95" customHeight="1" thickBot="1" x14ac:dyDescent="0.25">
      <c r="A47" s="8"/>
      <c r="B47" s="8"/>
      <c r="C47" s="8"/>
      <c r="D47" s="60" t="s">
        <v>108</v>
      </c>
      <c r="E47" s="60"/>
      <c r="F47" s="60"/>
      <c r="G47" s="60"/>
      <c r="H47" s="60"/>
      <c r="I47" s="60"/>
      <c r="J47" s="60"/>
      <c r="K47" s="60"/>
      <c r="L47" s="60"/>
      <c r="M47" s="60"/>
      <c r="N47" s="8"/>
    </row>
    <row r="48" spans="1:14" ht="15.4" customHeight="1" thickBot="1" x14ac:dyDescent="0.25">
      <c r="A48" s="8"/>
      <c r="B48" s="8"/>
      <c r="C48" s="8"/>
      <c r="D48" s="8"/>
      <c r="E48" s="23"/>
      <c r="F48" s="25" t="s">
        <v>109</v>
      </c>
      <c r="G48" s="25" t="s">
        <v>110</v>
      </c>
      <c r="H48" s="25" t="s">
        <v>111</v>
      </c>
      <c r="I48" s="25" t="s">
        <v>112</v>
      </c>
      <c r="J48" s="25" t="s">
        <v>113</v>
      </c>
      <c r="K48" s="25" t="s">
        <v>114</v>
      </c>
      <c r="L48" s="8"/>
      <c r="M48" s="8"/>
      <c r="N48" s="8"/>
    </row>
    <row r="49" spans="1:14" ht="15.4" customHeight="1" thickBot="1" x14ac:dyDescent="0.25">
      <c r="A49" s="8"/>
      <c r="B49" s="8"/>
      <c r="C49" s="8"/>
      <c r="D49" s="26"/>
      <c r="E49" s="27" t="s">
        <v>115</v>
      </c>
      <c r="F49" s="28"/>
      <c r="G49" s="29"/>
      <c r="H49" s="29"/>
      <c r="I49" s="29"/>
      <c r="J49" s="34" t="s">
        <v>116</v>
      </c>
      <c r="K49" s="35"/>
      <c r="L49" s="8"/>
      <c r="M49" s="8"/>
      <c r="N49" s="8"/>
    </row>
    <row r="50" spans="1:14" ht="30.95" customHeight="1" thickBot="1" x14ac:dyDescent="0.25">
      <c r="A50" s="8"/>
      <c r="B50" s="8"/>
      <c r="C50" s="8"/>
      <c r="D50" s="26"/>
      <c r="E50" s="6" t="s">
        <v>117</v>
      </c>
      <c r="F50" s="4">
        <v>2</v>
      </c>
      <c r="G50" s="22">
        <v>2</v>
      </c>
      <c r="H50" s="22">
        <v>2</v>
      </c>
      <c r="I50" s="22"/>
      <c r="J50" s="30">
        <f>ROUND(F50*G50*H50,2)</f>
        <v>8</v>
      </c>
      <c r="K50" s="32">
        <f>SUM(J49:J50)</f>
        <v>8</v>
      </c>
      <c r="L50" s="8"/>
      <c r="M50" s="8"/>
      <c r="N50" s="8"/>
    </row>
    <row r="51" spans="1:14" ht="15.4" customHeight="1" thickBot="1" x14ac:dyDescent="0.25">
      <c r="A51" s="36"/>
      <c r="B51" s="36"/>
      <c r="C51" s="36"/>
      <c r="D51" s="37" t="s">
        <v>118</v>
      </c>
      <c r="E51" s="38"/>
      <c r="F51" s="38"/>
      <c r="G51" s="38"/>
      <c r="H51" s="38"/>
      <c r="I51" s="38"/>
      <c r="J51" s="38"/>
      <c r="K51" s="38"/>
      <c r="L51" s="39">
        <f>M26+M38+M42+M46</f>
        <v>7390.99</v>
      </c>
      <c r="M51" s="39">
        <f>ROUND(L51,2)</f>
        <v>7390.99</v>
      </c>
      <c r="N51" s="8"/>
    </row>
    <row r="52" spans="1:14" ht="15.4" customHeight="1" thickBot="1" x14ac:dyDescent="0.25">
      <c r="A52" s="40" t="s">
        <v>119</v>
      </c>
      <c r="B52" s="40" t="s">
        <v>120</v>
      </c>
      <c r="C52" s="41"/>
      <c r="D52" s="61" t="s">
        <v>121</v>
      </c>
      <c r="E52" s="61"/>
      <c r="F52" s="61"/>
      <c r="G52" s="61"/>
      <c r="H52" s="61"/>
      <c r="I52" s="61"/>
      <c r="J52" s="61"/>
      <c r="K52" s="41"/>
      <c r="L52" s="42">
        <f>L57</f>
        <v>552</v>
      </c>
      <c r="M52" s="42">
        <f>ROUND(L52,2)</f>
        <v>552</v>
      </c>
      <c r="N52" s="8"/>
    </row>
    <row r="53" spans="1:14" ht="15.4" customHeight="1" thickBot="1" x14ac:dyDescent="0.25">
      <c r="A53" s="12" t="s">
        <v>122</v>
      </c>
      <c r="B53" s="6" t="s">
        <v>123</v>
      </c>
      <c r="C53" s="6" t="s">
        <v>124</v>
      </c>
      <c r="D53" s="60" t="s">
        <v>125</v>
      </c>
      <c r="E53" s="60"/>
      <c r="F53" s="60"/>
      <c r="G53" s="60"/>
      <c r="H53" s="60"/>
      <c r="I53" s="60"/>
      <c r="J53" s="60"/>
      <c r="K53" s="22">
        <f>SUM(K56:K56)</f>
        <v>50</v>
      </c>
      <c r="L53" s="22">
        <f>ROUND(11.04*(1+M2/100),2)</f>
        <v>11.04</v>
      </c>
      <c r="M53" s="22">
        <f>ROUND(K53*L53,2)</f>
        <v>552</v>
      </c>
      <c r="N53" s="8"/>
    </row>
    <row r="54" spans="1:14" ht="12.2" customHeight="1" thickBot="1" x14ac:dyDescent="0.25">
      <c r="A54" s="8"/>
      <c r="B54" s="8"/>
      <c r="C54" s="8"/>
      <c r="D54" s="60" t="s">
        <v>126</v>
      </c>
      <c r="E54" s="60"/>
      <c r="F54" s="60"/>
      <c r="G54" s="60"/>
      <c r="H54" s="60"/>
      <c r="I54" s="60"/>
      <c r="J54" s="60"/>
      <c r="K54" s="60"/>
      <c r="L54" s="60"/>
      <c r="M54" s="60"/>
      <c r="N54" s="8"/>
    </row>
    <row r="55" spans="1:14" ht="15.4" customHeight="1" thickBot="1" x14ac:dyDescent="0.25">
      <c r="A55" s="8"/>
      <c r="B55" s="8"/>
      <c r="C55" s="8"/>
      <c r="D55" s="8"/>
      <c r="E55" s="23"/>
      <c r="F55" s="25" t="s">
        <v>127</v>
      </c>
      <c r="G55" s="25" t="s">
        <v>128</v>
      </c>
      <c r="H55" s="25" t="s">
        <v>129</v>
      </c>
      <c r="I55" s="25" t="s">
        <v>130</v>
      </c>
      <c r="J55" s="25" t="s">
        <v>131</v>
      </c>
      <c r="K55" s="25" t="s">
        <v>132</v>
      </c>
      <c r="L55" s="8"/>
      <c r="M55" s="8"/>
      <c r="N55" s="8"/>
    </row>
    <row r="56" spans="1:14" ht="15.4" customHeight="1" thickBot="1" x14ac:dyDescent="0.25">
      <c r="A56" s="8"/>
      <c r="B56" s="8"/>
      <c r="C56" s="8"/>
      <c r="D56" s="26"/>
      <c r="E56" s="27" t="s">
        <v>133</v>
      </c>
      <c r="F56" s="28">
        <v>1</v>
      </c>
      <c r="G56" s="29">
        <v>50</v>
      </c>
      <c r="H56" s="29"/>
      <c r="I56" s="29"/>
      <c r="J56" s="31">
        <f>ROUND(F56*G56,2)</f>
        <v>50</v>
      </c>
      <c r="K56" s="33">
        <f>SUM(J56:J56)</f>
        <v>50</v>
      </c>
      <c r="L56" s="8"/>
      <c r="M56" s="8"/>
      <c r="N56" s="8"/>
    </row>
    <row r="57" spans="1:14" ht="15.4" customHeight="1" thickBot="1" x14ac:dyDescent="0.25">
      <c r="A57" s="36"/>
      <c r="B57" s="36"/>
      <c r="C57" s="36"/>
      <c r="D57" s="37" t="s">
        <v>134</v>
      </c>
      <c r="E57" s="38"/>
      <c r="F57" s="38"/>
      <c r="G57" s="38"/>
      <c r="H57" s="38"/>
      <c r="I57" s="38"/>
      <c r="J57" s="38"/>
      <c r="K57" s="38"/>
      <c r="L57" s="39">
        <f>M53</f>
        <v>552</v>
      </c>
      <c r="M57" s="39">
        <f>ROUND(L57,2)</f>
        <v>552</v>
      </c>
      <c r="N57" s="8"/>
    </row>
    <row r="58" spans="1:14" ht="15.4" customHeight="1" thickBot="1" x14ac:dyDescent="0.25">
      <c r="A58" s="40" t="s">
        <v>135</v>
      </c>
      <c r="B58" s="40" t="s">
        <v>136</v>
      </c>
      <c r="C58" s="41"/>
      <c r="D58" s="61" t="s">
        <v>137</v>
      </c>
      <c r="E58" s="61"/>
      <c r="F58" s="61"/>
      <c r="G58" s="61"/>
      <c r="H58" s="61"/>
      <c r="I58" s="61"/>
      <c r="J58" s="61"/>
      <c r="K58" s="41"/>
      <c r="L58" s="42">
        <f>L63</f>
        <v>297.75</v>
      </c>
      <c r="M58" s="42">
        <f>ROUND(L58,2)</f>
        <v>297.75</v>
      </c>
      <c r="N58" s="8"/>
    </row>
    <row r="59" spans="1:14" ht="15.4" customHeight="1" thickBot="1" x14ac:dyDescent="0.25">
      <c r="A59" s="12" t="s">
        <v>138</v>
      </c>
      <c r="B59" s="6" t="s">
        <v>139</v>
      </c>
      <c r="C59" s="6" t="s">
        <v>140</v>
      </c>
      <c r="D59" s="60" t="s">
        <v>141</v>
      </c>
      <c r="E59" s="60"/>
      <c r="F59" s="60"/>
      <c r="G59" s="60"/>
      <c r="H59" s="60"/>
      <c r="I59" s="60"/>
      <c r="J59" s="60"/>
      <c r="K59" s="22">
        <f>SUM(K62:K62)</f>
        <v>1</v>
      </c>
      <c r="L59" s="22">
        <f>ROUND(297.75*(1+M2/100),2)</f>
        <v>297.75</v>
      </c>
      <c r="M59" s="22">
        <f>ROUND(K59*L59,2)</f>
        <v>297.75</v>
      </c>
      <c r="N59" s="8"/>
    </row>
    <row r="60" spans="1:14" ht="12.2" customHeight="1" thickBot="1" x14ac:dyDescent="0.25">
      <c r="A60" s="8"/>
      <c r="B60" s="8"/>
      <c r="C60" s="8"/>
      <c r="D60" s="60" t="s">
        <v>142</v>
      </c>
      <c r="E60" s="60"/>
      <c r="F60" s="60"/>
      <c r="G60" s="60"/>
      <c r="H60" s="60"/>
      <c r="I60" s="60"/>
      <c r="J60" s="60"/>
      <c r="K60" s="60"/>
      <c r="L60" s="60"/>
      <c r="M60" s="60"/>
      <c r="N60" s="8"/>
    </row>
    <row r="61" spans="1:14" ht="15.4" customHeight="1" thickBot="1" x14ac:dyDescent="0.25">
      <c r="A61" s="8"/>
      <c r="B61" s="8"/>
      <c r="C61" s="8"/>
      <c r="D61" s="8"/>
      <c r="E61" s="23"/>
      <c r="F61" s="25" t="s">
        <v>143</v>
      </c>
      <c r="G61" s="25" t="s">
        <v>144</v>
      </c>
      <c r="H61" s="25" t="s">
        <v>145</v>
      </c>
      <c r="I61" s="25" t="s">
        <v>146</v>
      </c>
      <c r="J61" s="25" t="s">
        <v>147</v>
      </c>
      <c r="K61" s="25" t="s">
        <v>148</v>
      </c>
      <c r="L61" s="8"/>
      <c r="M61" s="8"/>
      <c r="N61" s="8"/>
    </row>
    <row r="62" spans="1:14" ht="15.4" customHeight="1" thickBot="1" x14ac:dyDescent="0.25">
      <c r="A62" s="8"/>
      <c r="B62" s="8"/>
      <c r="C62" s="8"/>
      <c r="D62" s="26"/>
      <c r="E62" s="27"/>
      <c r="F62" s="28">
        <v>1</v>
      </c>
      <c r="G62" s="29"/>
      <c r="H62" s="29"/>
      <c r="I62" s="29"/>
      <c r="J62" s="31">
        <f>ROUND(F62,2)</f>
        <v>1</v>
      </c>
      <c r="K62" s="33">
        <f>SUM(J62:J62)</f>
        <v>1</v>
      </c>
      <c r="L62" s="8"/>
      <c r="M62" s="8"/>
      <c r="N62" s="8"/>
    </row>
    <row r="63" spans="1:14" ht="15.4" customHeight="1" thickBot="1" x14ac:dyDescent="0.25">
      <c r="A63" s="36"/>
      <c r="B63" s="36"/>
      <c r="C63" s="36"/>
      <c r="D63" s="37" t="s">
        <v>149</v>
      </c>
      <c r="E63" s="38"/>
      <c r="F63" s="38"/>
      <c r="G63" s="38"/>
      <c r="H63" s="38"/>
      <c r="I63" s="38"/>
      <c r="J63" s="38"/>
      <c r="K63" s="38"/>
      <c r="L63" s="39">
        <f>M59</f>
        <v>297.75</v>
      </c>
      <c r="M63" s="39">
        <f>ROUND(L63,2)</f>
        <v>297.75</v>
      </c>
      <c r="N63" s="8"/>
    </row>
    <row r="64" spans="1:14" ht="15.4" customHeight="1" thickBot="1" x14ac:dyDescent="0.25">
      <c r="A64" s="43"/>
      <c r="B64" s="43"/>
      <c r="C64" s="43"/>
      <c r="D64" s="44" t="s">
        <v>150</v>
      </c>
      <c r="E64" s="45"/>
      <c r="F64" s="45"/>
      <c r="G64" s="45"/>
      <c r="H64" s="45"/>
      <c r="I64" s="45"/>
      <c r="J64" s="45"/>
      <c r="K64" s="45"/>
      <c r="L64" s="46">
        <f>M17+M24+M51+M57+M63</f>
        <v>12502.2</v>
      </c>
      <c r="M64" s="46">
        <f>ROUND(L64,2)</f>
        <v>12502.2</v>
      </c>
      <c r="N64" s="8"/>
    </row>
    <row r="65" spans="1:14" ht="15.4" customHeight="1" thickBot="1" x14ac:dyDescent="0.25">
      <c r="A65" s="47" t="s">
        <v>151</v>
      </c>
      <c r="B65" s="47" t="s">
        <v>152</v>
      </c>
      <c r="C65" s="48"/>
      <c r="D65" s="62" t="s">
        <v>153</v>
      </c>
      <c r="E65" s="62"/>
      <c r="F65" s="62"/>
      <c r="G65" s="62"/>
      <c r="H65" s="62"/>
      <c r="I65" s="62"/>
      <c r="J65" s="62"/>
      <c r="K65" s="48"/>
      <c r="L65" s="49">
        <f>L97</f>
        <v>52104.5</v>
      </c>
      <c r="M65" s="49">
        <f>ROUND(L65,2)</f>
        <v>52104.5</v>
      </c>
      <c r="N65" s="8"/>
    </row>
    <row r="66" spans="1:14" ht="15.4" customHeight="1" thickBot="1" x14ac:dyDescent="0.25">
      <c r="A66" s="12" t="s">
        <v>154</v>
      </c>
      <c r="B66" s="6" t="s">
        <v>155</v>
      </c>
      <c r="C66" s="6"/>
      <c r="D66" s="60" t="s">
        <v>156</v>
      </c>
      <c r="E66" s="60"/>
      <c r="F66" s="60"/>
      <c r="G66" s="60"/>
      <c r="H66" s="60"/>
      <c r="I66" s="60"/>
      <c r="J66" s="60"/>
      <c r="K66" s="22">
        <f>ROUND(0,2)</f>
        <v>0</v>
      </c>
      <c r="L66" s="22">
        <f>ROUND(0*(1+M2/100),2)</f>
        <v>0</v>
      </c>
      <c r="M66" s="22">
        <f>ROUND(K66*L66,2)</f>
        <v>0</v>
      </c>
      <c r="N66" s="8"/>
    </row>
    <row r="67" spans="1:14" ht="12.2" customHeight="1" thickBot="1" x14ac:dyDescent="0.25">
      <c r="A67" s="8"/>
      <c r="B67" s="8"/>
      <c r="C67" s="8"/>
      <c r="D67" s="60" t="s">
        <v>157</v>
      </c>
      <c r="E67" s="60"/>
      <c r="F67" s="60"/>
      <c r="G67" s="60"/>
      <c r="H67" s="60"/>
      <c r="I67" s="60"/>
      <c r="J67" s="60"/>
      <c r="K67" s="60"/>
      <c r="L67" s="60"/>
      <c r="M67" s="60"/>
      <c r="N67" s="8"/>
    </row>
    <row r="68" spans="1:14" ht="15.4" customHeight="1" thickBot="1" x14ac:dyDescent="0.25">
      <c r="A68" s="12" t="s">
        <v>158</v>
      </c>
      <c r="B68" s="6" t="s">
        <v>159</v>
      </c>
      <c r="C68" s="6" t="s">
        <v>160</v>
      </c>
      <c r="D68" s="60" t="s">
        <v>161</v>
      </c>
      <c r="E68" s="60"/>
      <c r="F68" s="60"/>
      <c r="G68" s="60"/>
      <c r="H68" s="60"/>
      <c r="I68" s="60"/>
      <c r="J68" s="60"/>
      <c r="K68" s="22">
        <f>SUM(K71:K73)</f>
        <v>62.8</v>
      </c>
      <c r="L68" s="22">
        <f>ROUND(12.49*(1+M2/100),2)</f>
        <v>12.49</v>
      </c>
      <c r="M68" s="22">
        <f>ROUND(K68*L68,2)</f>
        <v>784.37</v>
      </c>
      <c r="N68" s="8"/>
    </row>
    <row r="69" spans="1:14" ht="30.95" customHeight="1" thickBot="1" x14ac:dyDescent="0.25">
      <c r="A69" s="8"/>
      <c r="B69" s="8"/>
      <c r="C69" s="8"/>
      <c r="D69" s="60" t="s">
        <v>162</v>
      </c>
      <c r="E69" s="60"/>
      <c r="F69" s="60"/>
      <c r="G69" s="60"/>
      <c r="H69" s="60"/>
      <c r="I69" s="60"/>
      <c r="J69" s="60"/>
      <c r="K69" s="60"/>
      <c r="L69" s="60"/>
      <c r="M69" s="60"/>
      <c r="N69" s="8"/>
    </row>
    <row r="70" spans="1:14" ht="15.4" customHeight="1" thickBot="1" x14ac:dyDescent="0.25">
      <c r="A70" s="8"/>
      <c r="B70" s="8"/>
      <c r="C70" s="8"/>
      <c r="D70" s="8"/>
      <c r="E70" s="23"/>
      <c r="F70" s="25" t="s">
        <v>163</v>
      </c>
      <c r="G70" s="25" t="s">
        <v>164</v>
      </c>
      <c r="H70" s="25" t="s">
        <v>165</v>
      </c>
      <c r="I70" s="25" t="s">
        <v>166</v>
      </c>
      <c r="J70" s="25" t="s">
        <v>167</v>
      </c>
      <c r="K70" s="25" t="s">
        <v>168</v>
      </c>
      <c r="L70" s="8"/>
      <c r="M70" s="8"/>
      <c r="N70" s="8"/>
    </row>
    <row r="71" spans="1:14" ht="49.7" customHeight="1" thickBot="1" x14ac:dyDescent="0.25">
      <c r="A71" s="8"/>
      <c r="B71" s="8"/>
      <c r="C71" s="8"/>
      <c r="D71" s="26"/>
      <c r="E71" s="27" t="s">
        <v>169</v>
      </c>
      <c r="F71" s="28"/>
      <c r="G71" s="29"/>
      <c r="H71" s="29"/>
      <c r="I71" s="29"/>
      <c r="J71" s="34" t="s">
        <v>170</v>
      </c>
      <c r="K71" s="35"/>
      <c r="L71" s="8"/>
      <c r="M71" s="8"/>
      <c r="N71" s="8"/>
    </row>
    <row r="72" spans="1:14" ht="40.35" customHeight="1" thickBot="1" x14ac:dyDescent="0.25">
      <c r="A72" s="8"/>
      <c r="B72" s="8"/>
      <c r="C72" s="8"/>
      <c r="D72" s="26"/>
      <c r="E72" s="6" t="s">
        <v>171</v>
      </c>
      <c r="F72" s="4"/>
      <c r="G72" s="22"/>
      <c r="H72" s="22"/>
      <c r="I72" s="22"/>
      <c r="J72" s="24" t="s">
        <v>172</v>
      </c>
      <c r="K72" s="8"/>
      <c r="L72" s="8"/>
      <c r="M72" s="8"/>
      <c r="N72" s="8"/>
    </row>
    <row r="73" spans="1:14" ht="15.4" customHeight="1" thickBot="1" x14ac:dyDescent="0.25">
      <c r="A73" s="8"/>
      <c r="B73" s="8"/>
      <c r="C73" s="8"/>
      <c r="D73" s="26"/>
      <c r="E73" s="6"/>
      <c r="F73" s="4">
        <v>8</v>
      </c>
      <c r="G73" s="22">
        <v>0.1</v>
      </c>
      <c r="H73" s="22">
        <v>0.01</v>
      </c>
      <c r="I73" s="22">
        <v>7850</v>
      </c>
      <c r="J73" s="30">
        <f>ROUND(F73*G73*H73*I73,2)</f>
        <v>62.8</v>
      </c>
      <c r="K73" s="32">
        <f>SUM(J71:J73)</f>
        <v>62.8</v>
      </c>
      <c r="L73" s="8"/>
      <c r="M73" s="8"/>
      <c r="N73" s="8"/>
    </row>
    <row r="74" spans="1:14" ht="15.4" customHeight="1" thickBot="1" x14ac:dyDescent="0.25">
      <c r="A74" s="12" t="s">
        <v>173</v>
      </c>
      <c r="B74" s="6" t="s">
        <v>174</v>
      </c>
      <c r="C74" s="6" t="s">
        <v>175</v>
      </c>
      <c r="D74" s="60" t="s">
        <v>176</v>
      </c>
      <c r="E74" s="60"/>
      <c r="F74" s="60"/>
      <c r="G74" s="60"/>
      <c r="H74" s="60"/>
      <c r="I74" s="60"/>
      <c r="J74" s="60"/>
      <c r="K74" s="22">
        <f>SUM(K77:K78)</f>
        <v>8</v>
      </c>
      <c r="L74" s="22">
        <f>ROUND(8.66*(1+M2/100),2)</f>
        <v>8.66</v>
      </c>
      <c r="M74" s="22">
        <f>ROUND(K74*L74,2)</f>
        <v>69.28</v>
      </c>
      <c r="N74" s="8"/>
    </row>
    <row r="75" spans="1:14" ht="21.6" customHeight="1" thickBot="1" x14ac:dyDescent="0.25">
      <c r="A75" s="8"/>
      <c r="B75" s="8"/>
      <c r="C75" s="8"/>
      <c r="D75" s="60" t="s">
        <v>177</v>
      </c>
      <c r="E75" s="60"/>
      <c r="F75" s="60"/>
      <c r="G75" s="60"/>
      <c r="H75" s="60"/>
      <c r="I75" s="60"/>
      <c r="J75" s="60"/>
      <c r="K75" s="60"/>
      <c r="L75" s="60"/>
      <c r="M75" s="60"/>
      <c r="N75" s="8"/>
    </row>
    <row r="76" spans="1:14" ht="15.4" customHeight="1" thickBot="1" x14ac:dyDescent="0.25">
      <c r="A76" s="8"/>
      <c r="B76" s="8"/>
      <c r="C76" s="8"/>
      <c r="D76" s="8"/>
      <c r="E76" s="23"/>
      <c r="F76" s="25" t="s">
        <v>178</v>
      </c>
      <c r="G76" s="25" t="s">
        <v>179</v>
      </c>
      <c r="H76" s="25" t="s">
        <v>180</v>
      </c>
      <c r="I76" s="25" t="s">
        <v>181</v>
      </c>
      <c r="J76" s="25" t="s">
        <v>182</v>
      </c>
      <c r="K76" s="25" t="s">
        <v>183</v>
      </c>
      <c r="L76" s="8"/>
      <c r="M76" s="8"/>
      <c r="N76" s="8"/>
    </row>
    <row r="77" spans="1:14" ht="49.7" customHeight="1" thickBot="1" x14ac:dyDescent="0.25">
      <c r="A77" s="8"/>
      <c r="B77" s="8"/>
      <c r="C77" s="8"/>
      <c r="D77" s="26"/>
      <c r="E77" s="27" t="s">
        <v>184</v>
      </c>
      <c r="F77" s="28"/>
      <c r="G77" s="29"/>
      <c r="H77" s="29"/>
      <c r="I77" s="29"/>
      <c r="J77" s="34" t="s">
        <v>185</v>
      </c>
      <c r="K77" s="35"/>
      <c r="L77" s="8"/>
      <c r="M77" s="8"/>
      <c r="N77" s="8"/>
    </row>
    <row r="78" spans="1:14" ht="21.6" customHeight="1" thickBot="1" x14ac:dyDescent="0.25">
      <c r="A78" s="8"/>
      <c r="B78" s="8"/>
      <c r="C78" s="8"/>
      <c r="D78" s="26"/>
      <c r="E78" s="6" t="s">
        <v>186</v>
      </c>
      <c r="F78" s="4">
        <v>8</v>
      </c>
      <c r="G78" s="22"/>
      <c r="H78" s="22"/>
      <c r="I78" s="22"/>
      <c r="J78" s="30">
        <f>ROUND(F78,2)</f>
        <v>8</v>
      </c>
      <c r="K78" s="32">
        <f>SUM(J77:J78)</f>
        <v>8</v>
      </c>
      <c r="L78" s="8"/>
      <c r="M78" s="8"/>
      <c r="N78" s="8"/>
    </row>
    <row r="79" spans="1:14" ht="15.4" customHeight="1" thickBot="1" x14ac:dyDescent="0.25">
      <c r="A79" s="12" t="s">
        <v>187</v>
      </c>
      <c r="B79" s="6" t="s">
        <v>188</v>
      </c>
      <c r="C79" s="6" t="s">
        <v>189</v>
      </c>
      <c r="D79" s="60" t="s">
        <v>190</v>
      </c>
      <c r="E79" s="60"/>
      <c r="F79" s="60"/>
      <c r="G79" s="60"/>
      <c r="H79" s="60"/>
      <c r="I79" s="60"/>
      <c r="J79" s="60"/>
      <c r="K79" s="22">
        <f>SUM(K82:K82)</f>
        <v>20</v>
      </c>
      <c r="L79" s="22">
        <f>ROUND(148.74*(1+M2/100),2)</f>
        <v>148.74</v>
      </c>
      <c r="M79" s="22">
        <f>ROUND(K79*L79,2)</f>
        <v>2974.8</v>
      </c>
      <c r="N79" s="8"/>
    </row>
    <row r="80" spans="1:14" ht="68.45" customHeight="1" thickBot="1" x14ac:dyDescent="0.25">
      <c r="A80" s="8"/>
      <c r="B80" s="8"/>
      <c r="C80" s="8"/>
      <c r="D80" s="60" t="s">
        <v>191</v>
      </c>
      <c r="E80" s="60"/>
      <c r="F80" s="60"/>
      <c r="G80" s="60"/>
      <c r="H80" s="60"/>
      <c r="I80" s="60"/>
      <c r="J80" s="60"/>
      <c r="K80" s="60"/>
      <c r="L80" s="60"/>
      <c r="M80" s="60"/>
      <c r="N80" s="8"/>
    </row>
    <row r="81" spans="1:14" ht="15.4" customHeight="1" thickBot="1" x14ac:dyDescent="0.25">
      <c r="A81" s="8"/>
      <c r="B81" s="8"/>
      <c r="C81" s="8"/>
      <c r="D81" s="8"/>
      <c r="E81" s="23"/>
      <c r="F81" s="25" t="s">
        <v>192</v>
      </c>
      <c r="G81" s="25" t="s">
        <v>193</v>
      </c>
      <c r="H81" s="25" t="s">
        <v>194</v>
      </c>
      <c r="I81" s="25" t="s">
        <v>195</v>
      </c>
      <c r="J81" s="25" t="s">
        <v>196</v>
      </c>
      <c r="K81" s="25" t="s">
        <v>197</v>
      </c>
      <c r="L81" s="8"/>
      <c r="M81" s="8"/>
      <c r="N81" s="8"/>
    </row>
    <row r="82" spans="1:14" ht="15.4" customHeight="1" thickBot="1" x14ac:dyDescent="0.25">
      <c r="A82" s="8"/>
      <c r="B82" s="8"/>
      <c r="C82" s="8"/>
      <c r="D82" s="26"/>
      <c r="E82" s="27" t="s">
        <v>198</v>
      </c>
      <c r="F82" s="28">
        <v>1</v>
      </c>
      <c r="G82" s="29">
        <v>20</v>
      </c>
      <c r="H82" s="29"/>
      <c r="I82" s="29"/>
      <c r="J82" s="31">
        <f>ROUND(F82*G82,2)</f>
        <v>20</v>
      </c>
      <c r="K82" s="33">
        <f>SUM(J82:J82)</f>
        <v>20</v>
      </c>
      <c r="L82" s="8"/>
      <c r="M82" s="8"/>
      <c r="N82" s="8"/>
    </row>
    <row r="83" spans="1:14" ht="15.4" customHeight="1" thickBot="1" x14ac:dyDescent="0.25">
      <c r="A83" s="12" t="s">
        <v>199</v>
      </c>
      <c r="B83" s="6" t="s">
        <v>200</v>
      </c>
      <c r="C83" s="6" t="s">
        <v>201</v>
      </c>
      <c r="D83" s="60" t="s">
        <v>202</v>
      </c>
      <c r="E83" s="60"/>
      <c r="F83" s="60"/>
      <c r="G83" s="60"/>
      <c r="H83" s="60"/>
      <c r="I83" s="60"/>
      <c r="J83" s="60"/>
      <c r="K83" s="22">
        <f>SUM(K86:K86)</f>
        <v>14</v>
      </c>
      <c r="L83" s="22">
        <f>ROUND(178.49*(1+M2/100),2)</f>
        <v>178.49</v>
      </c>
      <c r="M83" s="22">
        <f>ROUND(K83*L83,2)</f>
        <v>2498.86</v>
      </c>
      <c r="N83" s="8"/>
    </row>
    <row r="84" spans="1:14" ht="59.1" customHeight="1" thickBot="1" x14ac:dyDescent="0.25">
      <c r="A84" s="8"/>
      <c r="B84" s="8"/>
      <c r="C84" s="8"/>
      <c r="D84" s="60" t="s">
        <v>203</v>
      </c>
      <c r="E84" s="60"/>
      <c r="F84" s="60"/>
      <c r="G84" s="60"/>
      <c r="H84" s="60"/>
      <c r="I84" s="60"/>
      <c r="J84" s="60"/>
      <c r="K84" s="60"/>
      <c r="L84" s="60"/>
      <c r="M84" s="60"/>
      <c r="N84" s="8"/>
    </row>
    <row r="85" spans="1:14" ht="15.4" customHeight="1" thickBot="1" x14ac:dyDescent="0.25">
      <c r="A85" s="8"/>
      <c r="B85" s="8"/>
      <c r="C85" s="8"/>
      <c r="D85" s="8"/>
      <c r="E85" s="23"/>
      <c r="F85" s="25" t="s">
        <v>204</v>
      </c>
      <c r="G85" s="25" t="s">
        <v>205</v>
      </c>
      <c r="H85" s="25" t="s">
        <v>206</v>
      </c>
      <c r="I85" s="25" t="s">
        <v>207</v>
      </c>
      <c r="J85" s="25" t="s">
        <v>208</v>
      </c>
      <c r="K85" s="25" t="s">
        <v>209</v>
      </c>
      <c r="L85" s="8"/>
      <c r="M85" s="8"/>
      <c r="N85" s="8"/>
    </row>
    <row r="86" spans="1:14" ht="21.6" customHeight="1" thickBot="1" x14ac:dyDescent="0.25">
      <c r="A86" s="8"/>
      <c r="B86" s="8"/>
      <c r="C86" s="8"/>
      <c r="D86" s="26"/>
      <c r="E86" s="27" t="s">
        <v>210</v>
      </c>
      <c r="F86" s="28">
        <v>2</v>
      </c>
      <c r="G86" s="29">
        <v>7</v>
      </c>
      <c r="H86" s="29"/>
      <c r="I86" s="29"/>
      <c r="J86" s="31">
        <f>ROUND(F86*G86,2)</f>
        <v>14</v>
      </c>
      <c r="K86" s="33">
        <f>SUM(J86:J86)</f>
        <v>14</v>
      </c>
      <c r="L86" s="8"/>
      <c r="M86" s="8"/>
      <c r="N86" s="8"/>
    </row>
    <row r="87" spans="1:14" ht="15.4" customHeight="1" thickBot="1" x14ac:dyDescent="0.25">
      <c r="A87" s="12" t="s">
        <v>211</v>
      </c>
      <c r="B87" s="6" t="s">
        <v>212</v>
      </c>
      <c r="C87" s="6" t="s">
        <v>213</v>
      </c>
      <c r="D87" s="60" t="s">
        <v>214</v>
      </c>
      <c r="E87" s="60"/>
      <c r="F87" s="60"/>
      <c r="G87" s="60"/>
      <c r="H87" s="60"/>
      <c r="I87" s="60"/>
      <c r="J87" s="60"/>
      <c r="K87" s="22">
        <f>SUM(K90:K96)</f>
        <v>6015.4</v>
      </c>
      <c r="L87" s="22">
        <f>ROUND(7.61*(1+M2/100),2)</f>
        <v>7.61</v>
      </c>
      <c r="M87" s="22">
        <f>ROUND(K87*L87,2)</f>
        <v>45777.19</v>
      </c>
      <c r="N87" s="8"/>
    </row>
    <row r="88" spans="1:14" ht="21.6" customHeight="1" thickBot="1" x14ac:dyDescent="0.25">
      <c r="A88" s="8"/>
      <c r="B88" s="8"/>
      <c r="C88" s="8"/>
      <c r="D88" s="60" t="s">
        <v>215</v>
      </c>
      <c r="E88" s="60"/>
      <c r="F88" s="60"/>
      <c r="G88" s="60"/>
      <c r="H88" s="60"/>
      <c r="I88" s="60"/>
      <c r="J88" s="60"/>
      <c r="K88" s="60"/>
      <c r="L88" s="60"/>
      <c r="M88" s="60"/>
      <c r="N88" s="8"/>
    </row>
    <row r="89" spans="1:14" ht="15.4" customHeight="1" thickBot="1" x14ac:dyDescent="0.25">
      <c r="A89" s="8"/>
      <c r="B89" s="8"/>
      <c r="C89" s="8"/>
      <c r="D89" s="8"/>
      <c r="E89" s="23"/>
      <c r="F89" s="25" t="s">
        <v>216</v>
      </c>
      <c r="G89" s="25" t="s">
        <v>217</v>
      </c>
      <c r="H89" s="25" t="s">
        <v>218</v>
      </c>
      <c r="I89" s="25" t="s">
        <v>219</v>
      </c>
      <c r="J89" s="25" t="s">
        <v>220</v>
      </c>
      <c r="K89" s="25" t="s">
        <v>221</v>
      </c>
      <c r="L89" s="8"/>
      <c r="M89" s="8"/>
      <c r="N89" s="8"/>
    </row>
    <row r="90" spans="1:14" ht="49.7" customHeight="1" thickBot="1" x14ac:dyDescent="0.25">
      <c r="A90" s="8"/>
      <c r="B90" s="8"/>
      <c r="C90" s="8"/>
      <c r="D90" s="26"/>
      <c r="E90" s="27" t="s">
        <v>222</v>
      </c>
      <c r="F90" s="28"/>
      <c r="G90" s="29"/>
      <c r="H90" s="29"/>
      <c r="I90" s="29"/>
      <c r="J90" s="34" t="s">
        <v>223</v>
      </c>
      <c r="K90" s="35"/>
      <c r="L90" s="8"/>
      <c r="M90" s="8"/>
      <c r="N90" s="8"/>
    </row>
    <row r="91" spans="1:14" ht="15.4" customHeight="1" thickBot="1" x14ac:dyDescent="0.25">
      <c r="A91" s="8"/>
      <c r="B91" s="8"/>
      <c r="C91" s="8"/>
      <c r="D91" s="26"/>
      <c r="E91" s="6" t="s">
        <v>224</v>
      </c>
      <c r="F91" s="4">
        <v>3</v>
      </c>
      <c r="G91" s="22">
        <v>6</v>
      </c>
      <c r="H91" s="22"/>
      <c r="I91" s="22">
        <v>117</v>
      </c>
      <c r="J91" s="30">
        <f>ROUND(F91*G91*I91,2)</f>
        <v>2106</v>
      </c>
      <c r="K91" s="8"/>
      <c r="L91" s="8"/>
      <c r="M91" s="8"/>
      <c r="N91" s="8"/>
    </row>
    <row r="92" spans="1:14" ht="15.4" customHeight="1" thickBot="1" x14ac:dyDescent="0.25">
      <c r="A92" s="8"/>
      <c r="B92" s="8"/>
      <c r="C92" s="8"/>
      <c r="D92" s="26"/>
      <c r="E92" s="6" t="s">
        <v>225</v>
      </c>
      <c r="F92" s="4">
        <v>10</v>
      </c>
      <c r="G92" s="22">
        <v>3.35</v>
      </c>
      <c r="H92" s="22"/>
      <c r="I92" s="22">
        <v>18.8</v>
      </c>
      <c r="J92" s="30">
        <f>ROUND(F92*G92*I92,2)</f>
        <v>629.79999999999995</v>
      </c>
      <c r="K92" s="8"/>
      <c r="L92" s="8"/>
      <c r="M92" s="8"/>
      <c r="N92" s="8"/>
    </row>
    <row r="93" spans="1:14" ht="15.4" customHeight="1" thickBot="1" x14ac:dyDescent="0.25">
      <c r="A93" s="8"/>
      <c r="B93" s="8"/>
      <c r="C93" s="8"/>
      <c r="D93" s="26"/>
      <c r="E93" s="6" t="s">
        <v>226</v>
      </c>
      <c r="F93" s="4">
        <v>2</v>
      </c>
      <c r="G93" s="22">
        <v>3</v>
      </c>
      <c r="H93" s="22"/>
      <c r="I93" s="22">
        <v>117</v>
      </c>
      <c r="J93" s="30">
        <f>ROUND(F93*G93*I93,2)</f>
        <v>702</v>
      </c>
      <c r="K93" s="8"/>
      <c r="L93" s="8"/>
      <c r="M93" s="8"/>
      <c r="N93" s="8"/>
    </row>
    <row r="94" spans="1:14" ht="21.6" customHeight="1" thickBot="1" x14ac:dyDescent="0.25">
      <c r="A94" s="8"/>
      <c r="B94" s="8"/>
      <c r="C94" s="8"/>
      <c r="D94" s="26"/>
      <c r="E94" s="6" t="s">
        <v>227</v>
      </c>
      <c r="F94" s="4"/>
      <c r="G94" s="22"/>
      <c r="H94" s="22"/>
      <c r="I94" s="22"/>
      <c r="J94" s="24" t="s">
        <v>228</v>
      </c>
      <c r="K94" s="8"/>
      <c r="L94" s="8"/>
      <c r="M94" s="8"/>
      <c r="N94" s="8"/>
    </row>
    <row r="95" spans="1:14" ht="15.4" customHeight="1" thickBot="1" x14ac:dyDescent="0.25">
      <c r="A95" s="8"/>
      <c r="B95" s="8"/>
      <c r="C95" s="8"/>
      <c r="D95" s="26"/>
      <c r="E95" s="6"/>
      <c r="F95" s="4">
        <v>4</v>
      </c>
      <c r="G95" s="22">
        <v>4.4000000000000004</v>
      </c>
      <c r="H95" s="22"/>
      <c r="I95" s="22">
        <v>117</v>
      </c>
      <c r="J95" s="30">
        <f>ROUND(F95*G95*I95,2)</f>
        <v>2059.1999999999998</v>
      </c>
      <c r="K95" s="8"/>
      <c r="L95" s="8"/>
      <c r="M95" s="8"/>
      <c r="N95" s="8"/>
    </row>
    <row r="96" spans="1:14" ht="15.4" customHeight="1" thickBot="1" x14ac:dyDescent="0.25">
      <c r="A96" s="8"/>
      <c r="B96" s="8"/>
      <c r="C96" s="8"/>
      <c r="D96" s="26"/>
      <c r="E96" s="6"/>
      <c r="F96" s="4">
        <v>12</v>
      </c>
      <c r="G96" s="22">
        <v>2.4</v>
      </c>
      <c r="H96" s="22"/>
      <c r="I96" s="22">
        <v>18</v>
      </c>
      <c r="J96" s="30">
        <f>ROUND(F96*G96*I96,2)</f>
        <v>518.4</v>
      </c>
      <c r="K96" s="32">
        <f>SUM(J90:J96)</f>
        <v>6015.4</v>
      </c>
      <c r="L96" s="8"/>
      <c r="M96" s="8"/>
      <c r="N96" s="8"/>
    </row>
    <row r="97" spans="1:14" ht="15.4" customHeight="1" thickBot="1" x14ac:dyDescent="0.25">
      <c r="A97" s="36"/>
      <c r="B97" s="36"/>
      <c r="C97" s="36"/>
      <c r="D97" s="50" t="s">
        <v>229</v>
      </c>
      <c r="E97" s="51"/>
      <c r="F97" s="51"/>
      <c r="G97" s="51"/>
      <c r="H97" s="51"/>
      <c r="I97" s="51"/>
      <c r="J97" s="51"/>
      <c r="K97" s="51"/>
      <c r="L97" s="52">
        <f>M66+M68+M74+M79+M83+M87</f>
        <v>52104.5</v>
      </c>
      <c r="M97" s="52">
        <f>ROUND(L97,2)</f>
        <v>52104.5</v>
      </c>
      <c r="N97" s="8"/>
    </row>
    <row r="98" spans="1:14" ht="15.4" customHeight="1" thickBot="1" x14ac:dyDescent="0.25">
      <c r="A98" s="47" t="s">
        <v>230</v>
      </c>
      <c r="B98" s="47" t="s">
        <v>231</v>
      </c>
      <c r="C98" s="48"/>
      <c r="D98" s="62" t="s">
        <v>232</v>
      </c>
      <c r="E98" s="62"/>
      <c r="F98" s="62"/>
      <c r="G98" s="62"/>
      <c r="H98" s="62"/>
      <c r="I98" s="62"/>
      <c r="J98" s="62"/>
      <c r="K98" s="48"/>
      <c r="L98" s="49">
        <f>L280</f>
        <v>116260.17</v>
      </c>
      <c r="M98" s="49">
        <f>ROUND(L98,2)</f>
        <v>116260.17</v>
      </c>
      <c r="N98" s="8"/>
    </row>
    <row r="99" spans="1:14" ht="15.4" customHeight="1" thickBot="1" x14ac:dyDescent="0.25">
      <c r="A99" s="19" t="s">
        <v>233</v>
      </c>
      <c r="B99" s="19" t="s">
        <v>234</v>
      </c>
      <c r="C99" s="20"/>
      <c r="D99" s="59" t="s">
        <v>235</v>
      </c>
      <c r="E99" s="59"/>
      <c r="F99" s="59"/>
      <c r="G99" s="59"/>
      <c r="H99" s="59"/>
      <c r="I99" s="59"/>
      <c r="J99" s="59"/>
      <c r="K99" s="20"/>
      <c r="L99" s="21">
        <f>L109</f>
        <v>5681.06</v>
      </c>
      <c r="M99" s="21">
        <f>ROUND(L99,2)</f>
        <v>5681.06</v>
      </c>
      <c r="N99" s="8"/>
    </row>
    <row r="100" spans="1:14" ht="15.4" customHeight="1" thickBot="1" x14ac:dyDescent="0.25">
      <c r="A100" s="12" t="s">
        <v>236</v>
      </c>
      <c r="B100" s="6" t="s">
        <v>237</v>
      </c>
      <c r="C100" s="6" t="s">
        <v>238</v>
      </c>
      <c r="D100" s="60" t="s">
        <v>239</v>
      </c>
      <c r="E100" s="60"/>
      <c r="F100" s="60"/>
      <c r="G100" s="60"/>
      <c r="H100" s="60"/>
      <c r="I100" s="60"/>
      <c r="J100" s="60"/>
      <c r="K100" s="22">
        <f>SUM(K103:K108)</f>
        <v>154</v>
      </c>
      <c r="L100" s="22">
        <f>ROUND(36.89*(1+M2/100),2)</f>
        <v>36.89</v>
      </c>
      <c r="M100" s="22">
        <f>ROUND(K100*L100,2)</f>
        <v>5681.06</v>
      </c>
      <c r="N100" s="8"/>
    </row>
    <row r="101" spans="1:14" ht="49.7" customHeight="1" thickBot="1" x14ac:dyDescent="0.25">
      <c r="A101" s="8"/>
      <c r="B101" s="8"/>
      <c r="C101" s="8"/>
      <c r="D101" s="60" t="s">
        <v>240</v>
      </c>
      <c r="E101" s="60"/>
      <c r="F101" s="60"/>
      <c r="G101" s="60"/>
      <c r="H101" s="60"/>
      <c r="I101" s="60"/>
      <c r="J101" s="60"/>
      <c r="K101" s="60"/>
      <c r="L101" s="60"/>
      <c r="M101" s="60"/>
      <c r="N101" s="8"/>
    </row>
    <row r="102" spans="1:14" ht="15.4" customHeight="1" thickBot="1" x14ac:dyDescent="0.25">
      <c r="A102" s="8"/>
      <c r="B102" s="8"/>
      <c r="C102" s="8"/>
      <c r="D102" s="8"/>
      <c r="E102" s="23"/>
      <c r="F102" s="25" t="s">
        <v>241</v>
      </c>
      <c r="G102" s="25" t="s">
        <v>242</v>
      </c>
      <c r="H102" s="25" t="s">
        <v>243</v>
      </c>
      <c r="I102" s="25" t="s">
        <v>244</v>
      </c>
      <c r="J102" s="25" t="s">
        <v>245</v>
      </c>
      <c r="K102" s="25" t="s">
        <v>246</v>
      </c>
      <c r="L102" s="8"/>
      <c r="M102" s="8"/>
      <c r="N102" s="8"/>
    </row>
    <row r="103" spans="1:14" ht="15.4" customHeight="1" thickBot="1" x14ac:dyDescent="0.25">
      <c r="A103" s="8"/>
      <c r="B103" s="8"/>
      <c r="C103" s="8"/>
      <c r="D103" s="26"/>
      <c r="E103" s="27" t="s">
        <v>247</v>
      </c>
      <c r="F103" s="28"/>
      <c r="G103" s="29"/>
      <c r="H103" s="29"/>
      <c r="I103" s="29"/>
      <c r="J103" s="34" t="s">
        <v>248</v>
      </c>
      <c r="K103" s="35"/>
      <c r="L103" s="8"/>
      <c r="M103" s="8"/>
      <c r="N103" s="8"/>
    </row>
    <row r="104" spans="1:14" ht="15.4" customHeight="1" thickBot="1" x14ac:dyDescent="0.25">
      <c r="A104" s="8"/>
      <c r="B104" s="8"/>
      <c r="C104" s="8"/>
      <c r="D104" s="26"/>
      <c r="E104" s="6" t="s">
        <v>249</v>
      </c>
      <c r="F104" s="4">
        <v>1</v>
      </c>
      <c r="G104" s="22">
        <v>4</v>
      </c>
      <c r="H104" s="22"/>
      <c r="I104" s="22">
        <v>3</v>
      </c>
      <c r="J104" s="30">
        <f>ROUND(F104*G104*I104,2)</f>
        <v>12</v>
      </c>
      <c r="K104" s="8"/>
      <c r="L104" s="8"/>
      <c r="M104" s="8"/>
      <c r="N104" s="8"/>
    </row>
    <row r="105" spans="1:14" ht="15.4" customHeight="1" thickBot="1" x14ac:dyDescent="0.25">
      <c r="A105" s="8"/>
      <c r="B105" s="8"/>
      <c r="C105" s="8"/>
      <c r="D105" s="26"/>
      <c r="E105" s="6" t="s">
        <v>250</v>
      </c>
      <c r="F105" s="4">
        <v>1</v>
      </c>
      <c r="G105" s="22">
        <v>5</v>
      </c>
      <c r="H105" s="22"/>
      <c r="I105" s="22">
        <v>3</v>
      </c>
      <c r="J105" s="30">
        <f>ROUND(F105*G105*I105,2)</f>
        <v>15</v>
      </c>
      <c r="K105" s="8"/>
      <c r="L105" s="8"/>
      <c r="M105" s="8"/>
      <c r="N105" s="8"/>
    </row>
    <row r="106" spans="1:14" ht="15.4" customHeight="1" thickBot="1" x14ac:dyDescent="0.25">
      <c r="A106" s="8"/>
      <c r="B106" s="8"/>
      <c r="C106" s="8"/>
      <c r="D106" s="26"/>
      <c r="E106" s="6" t="s">
        <v>251</v>
      </c>
      <c r="F106" s="4">
        <v>1</v>
      </c>
      <c r="G106" s="22">
        <v>4</v>
      </c>
      <c r="H106" s="22"/>
      <c r="I106" s="22">
        <v>3</v>
      </c>
      <c r="J106" s="30">
        <f>ROUND(F106*G106*I106,2)</f>
        <v>12</v>
      </c>
      <c r="K106" s="8"/>
      <c r="L106" s="8"/>
      <c r="M106" s="8"/>
      <c r="N106" s="8"/>
    </row>
    <row r="107" spans="1:14" ht="21.6" customHeight="1" thickBot="1" x14ac:dyDescent="0.25">
      <c r="A107" s="8"/>
      <c r="B107" s="8"/>
      <c r="C107" s="8"/>
      <c r="D107" s="26"/>
      <c r="E107" s="6" t="s">
        <v>252</v>
      </c>
      <c r="F107" s="4">
        <v>132</v>
      </c>
      <c r="G107" s="22"/>
      <c r="H107" s="22"/>
      <c r="I107" s="22"/>
      <c r="J107" s="30">
        <f>ROUND(F107,2)</f>
        <v>132</v>
      </c>
      <c r="K107" s="8"/>
      <c r="L107" s="8"/>
      <c r="M107" s="8"/>
      <c r="N107" s="8"/>
    </row>
    <row r="108" spans="1:14" ht="15.4" customHeight="1" thickBot="1" x14ac:dyDescent="0.25">
      <c r="A108" s="8"/>
      <c r="B108" s="8"/>
      <c r="C108" s="8"/>
      <c r="D108" s="26"/>
      <c r="E108" s="6" t="s">
        <v>253</v>
      </c>
      <c r="F108" s="4">
        <v>-17</v>
      </c>
      <c r="G108" s="22"/>
      <c r="H108" s="22"/>
      <c r="I108" s="22"/>
      <c r="J108" s="30">
        <f>ROUND(F108,2)</f>
        <v>-17</v>
      </c>
      <c r="K108" s="32">
        <f>SUM(J103:J108)</f>
        <v>154</v>
      </c>
      <c r="L108" s="8"/>
      <c r="M108" s="8"/>
      <c r="N108" s="8"/>
    </row>
    <row r="109" spans="1:14" ht="15.4" customHeight="1" thickBot="1" x14ac:dyDescent="0.25">
      <c r="A109" s="36"/>
      <c r="B109" s="36"/>
      <c r="C109" s="36"/>
      <c r="D109" s="37" t="s">
        <v>254</v>
      </c>
      <c r="E109" s="38"/>
      <c r="F109" s="38"/>
      <c r="G109" s="38"/>
      <c r="H109" s="38"/>
      <c r="I109" s="38"/>
      <c r="J109" s="38"/>
      <c r="K109" s="38"/>
      <c r="L109" s="39">
        <f>M100</f>
        <v>5681.06</v>
      </c>
      <c r="M109" s="39">
        <f>ROUND(L109,2)</f>
        <v>5681.06</v>
      </c>
      <c r="N109" s="8"/>
    </row>
    <row r="110" spans="1:14" ht="15.4" customHeight="1" thickBot="1" x14ac:dyDescent="0.25">
      <c r="A110" s="40" t="s">
        <v>255</v>
      </c>
      <c r="B110" s="40" t="s">
        <v>256</v>
      </c>
      <c r="C110" s="41"/>
      <c r="D110" s="61" t="s">
        <v>257</v>
      </c>
      <c r="E110" s="61"/>
      <c r="F110" s="61"/>
      <c r="G110" s="61"/>
      <c r="H110" s="61"/>
      <c r="I110" s="61"/>
      <c r="J110" s="61"/>
      <c r="K110" s="41"/>
      <c r="L110" s="42">
        <f>L162</f>
        <v>52362.94</v>
      </c>
      <c r="M110" s="42">
        <f>ROUND(L110,2)</f>
        <v>52362.94</v>
      </c>
      <c r="N110" s="8"/>
    </row>
    <row r="111" spans="1:14" ht="15.4" customHeight="1" thickBot="1" x14ac:dyDescent="0.25">
      <c r="A111" s="12" t="s">
        <v>258</v>
      </c>
      <c r="B111" s="6" t="s">
        <v>259</v>
      </c>
      <c r="C111" s="6" t="s">
        <v>260</v>
      </c>
      <c r="D111" s="60" t="s">
        <v>261</v>
      </c>
      <c r="E111" s="60"/>
      <c r="F111" s="60"/>
      <c r="G111" s="60"/>
      <c r="H111" s="60"/>
      <c r="I111" s="60"/>
      <c r="J111" s="60"/>
      <c r="K111" s="22">
        <f>SUM(K114:K119)</f>
        <v>90.42</v>
      </c>
      <c r="L111" s="22">
        <f>ROUND(56.52*(1+M2/100),2)</f>
        <v>56.52</v>
      </c>
      <c r="M111" s="22">
        <f>ROUND(K111*L111,2)</f>
        <v>5110.54</v>
      </c>
      <c r="N111" s="8"/>
    </row>
    <row r="112" spans="1:14" ht="49.7" customHeight="1" thickBot="1" x14ac:dyDescent="0.25">
      <c r="A112" s="8"/>
      <c r="B112" s="8"/>
      <c r="C112" s="8"/>
      <c r="D112" s="60" t="s">
        <v>262</v>
      </c>
      <c r="E112" s="60"/>
      <c r="F112" s="60"/>
      <c r="G112" s="60"/>
      <c r="H112" s="60"/>
      <c r="I112" s="60"/>
      <c r="J112" s="60"/>
      <c r="K112" s="60"/>
      <c r="L112" s="60"/>
      <c r="M112" s="60"/>
      <c r="N112" s="8"/>
    </row>
    <row r="113" spans="1:14" ht="15.4" customHeight="1" thickBot="1" x14ac:dyDescent="0.25">
      <c r="A113" s="8"/>
      <c r="B113" s="8"/>
      <c r="C113" s="8"/>
      <c r="D113" s="8"/>
      <c r="E113" s="23"/>
      <c r="F113" s="25" t="s">
        <v>263</v>
      </c>
      <c r="G113" s="25" t="s">
        <v>264</v>
      </c>
      <c r="H113" s="25" t="s">
        <v>265</v>
      </c>
      <c r="I113" s="25" t="s">
        <v>266</v>
      </c>
      <c r="J113" s="25" t="s">
        <v>267</v>
      </c>
      <c r="K113" s="25" t="s">
        <v>268</v>
      </c>
      <c r="L113" s="8"/>
      <c r="M113" s="8"/>
      <c r="N113" s="8"/>
    </row>
    <row r="114" spans="1:14" ht="15.4" customHeight="1" thickBot="1" x14ac:dyDescent="0.25">
      <c r="A114" s="8"/>
      <c r="B114" s="8"/>
      <c r="C114" s="8"/>
      <c r="D114" s="26"/>
      <c r="E114" s="27" t="s">
        <v>269</v>
      </c>
      <c r="F114" s="28"/>
      <c r="G114" s="29"/>
      <c r="H114" s="29"/>
      <c r="I114" s="29"/>
      <c r="J114" s="34" t="s">
        <v>270</v>
      </c>
      <c r="K114" s="35"/>
      <c r="L114" s="8"/>
      <c r="M114" s="8"/>
      <c r="N114" s="8"/>
    </row>
    <row r="115" spans="1:14" ht="15.4" customHeight="1" thickBot="1" x14ac:dyDescent="0.25">
      <c r="A115" s="8"/>
      <c r="B115" s="8"/>
      <c r="C115" s="8"/>
      <c r="D115" s="26"/>
      <c r="E115" s="6" t="s">
        <v>271</v>
      </c>
      <c r="F115" s="4">
        <v>1</v>
      </c>
      <c r="G115" s="22">
        <v>12</v>
      </c>
      <c r="H115" s="22"/>
      <c r="I115" s="22">
        <v>3.85</v>
      </c>
      <c r="J115" s="30">
        <f>ROUND(F115*G115*I115,2)</f>
        <v>46.2</v>
      </c>
      <c r="K115" s="8"/>
      <c r="L115" s="8"/>
      <c r="M115" s="8"/>
      <c r="N115" s="8"/>
    </row>
    <row r="116" spans="1:14" ht="15.4" customHeight="1" thickBot="1" x14ac:dyDescent="0.25">
      <c r="A116" s="8"/>
      <c r="B116" s="8"/>
      <c r="C116" s="8"/>
      <c r="D116" s="26"/>
      <c r="E116" s="6" t="s">
        <v>272</v>
      </c>
      <c r="F116" s="4">
        <v>1</v>
      </c>
      <c r="G116" s="22">
        <v>3.4</v>
      </c>
      <c r="H116" s="22"/>
      <c r="I116" s="22">
        <v>3.85</v>
      </c>
      <c r="J116" s="30">
        <f>ROUND(F116*G116*I116,2)</f>
        <v>13.09</v>
      </c>
      <c r="K116" s="8"/>
      <c r="L116" s="8"/>
      <c r="M116" s="8"/>
      <c r="N116" s="8"/>
    </row>
    <row r="117" spans="1:14" ht="15.4" customHeight="1" thickBot="1" x14ac:dyDescent="0.25">
      <c r="A117" s="8"/>
      <c r="B117" s="8"/>
      <c r="C117" s="8"/>
      <c r="D117" s="26"/>
      <c r="E117" s="6" t="s">
        <v>273</v>
      </c>
      <c r="F117" s="4">
        <v>2</v>
      </c>
      <c r="G117" s="22"/>
      <c r="H117" s="22"/>
      <c r="I117" s="22"/>
      <c r="J117" s="30">
        <f>ROUND(F117,2)</f>
        <v>2</v>
      </c>
      <c r="K117" s="8"/>
      <c r="L117" s="8"/>
      <c r="M117" s="8"/>
      <c r="N117" s="8"/>
    </row>
    <row r="118" spans="1:14" ht="15.4" customHeight="1" thickBot="1" x14ac:dyDescent="0.25">
      <c r="A118" s="8"/>
      <c r="B118" s="8"/>
      <c r="C118" s="8"/>
      <c r="D118" s="26"/>
      <c r="E118" s="6"/>
      <c r="F118" s="4">
        <v>1</v>
      </c>
      <c r="G118" s="22">
        <v>1.5</v>
      </c>
      <c r="H118" s="22"/>
      <c r="I118" s="22">
        <v>1.45</v>
      </c>
      <c r="J118" s="30">
        <f>ROUND(F118*G118*I118,2)</f>
        <v>2.1800000000000002</v>
      </c>
      <c r="K118" s="8"/>
      <c r="L118" s="8"/>
      <c r="M118" s="8"/>
      <c r="N118" s="8"/>
    </row>
    <row r="119" spans="1:14" ht="15.4" customHeight="1" thickBot="1" x14ac:dyDescent="0.25">
      <c r="A119" s="8"/>
      <c r="B119" s="8"/>
      <c r="C119" s="8"/>
      <c r="D119" s="26"/>
      <c r="E119" s="6" t="s">
        <v>274</v>
      </c>
      <c r="F119" s="4">
        <v>1</v>
      </c>
      <c r="G119" s="22">
        <v>7</v>
      </c>
      <c r="H119" s="22"/>
      <c r="I119" s="22">
        <v>3.85</v>
      </c>
      <c r="J119" s="30">
        <f>ROUND(F119*G119*I119,2)</f>
        <v>26.95</v>
      </c>
      <c r="K119" s="32">
        <f>SUM(J114:J119)</f>
        <v>90.42</v>
      </c>
      <c r="L119" s="8"/>
      <c r="M119" s="8"/>
      <c r="N119" s="8"/>
    </row>
    <row r="120" spans="1:14" ht="15.4" customHeight="1" thickBot="1" x14ac:dyDescent="0.25">
      <c r="A120" s="12" t="s">
        <v>275</v>
      </c>
      <c r="B120" s="6" t="s">
        <v>276</v>
      </c>
      <c r="C120" s="6" t="s">
        <v>277</v>
      </c>
      <c r="D120" s="60" t="s">
        <v>278</v>
      </c>
      <c r="E120" s="60"/>
      <c r="F120" s="60"/>
      <c r="G120" s="60"/>
      <c r="H120" s="60"/>
      <c r="I120" s="60"/>
      <c r="J120" s="60"/>
      <c r="K120" s="22">
        <f>SUM(K123:K129)</f>
        <v>348.38</v>
      </c>
      <c r="L120" s="22">
        <f>ROUND(61.88*(1+M2/100),2)</f>
        <v>61.88</v>
      </c>
      <c r="M120" s="22">
        <f>ROUND(K120*L120,2)</f>
        <v>21557.75</v>
      </c>
      <c r="N120" s="8"/>
    </row>
    <row r="121" spans="1:14" ht="49.7" customHeight="1" thickBot="1" x14ac:dyDescent="0.25">
      <c r="A121" s="8"/>
      <c r="B121" s="8"/>
      <c r="C121" s="8"/>
      <c r="D121" s="60" t="s">
        <v>279</v>
      </c>
      <c r="E121" s="60"/>
      <c r="F121" s="60"/>
      <c r="G121" s="60"/>
      <c r="H121" s="60"/>
      <c r="I121" s="60"/>
      <c r="J121" s="60"/>
      <c r="K121" s="60"/>
      <c r="L121" s="60"/>
      <c r="M121" s="60"/>
      <c r="N121" s="8"/>
    </row>
    <row r="122" spans="1:14" ht="15.4" customHeight="1" thickBot="1" x14ac:dyDescent="0.25">
      <c r="A122" s="8"/>
      <c r="B122" s="8"/>
      <c r="C122" s="8"/>
      <c r="D122" s="8"/>
      <c r="E122" s="23"/>
      <c r="F122" s="25" t="s">
        <v>280</v>
      </c>
      <c r="G122" s="25" t="s">
        <v>281</v>
      </c>
      <c r="H122" s="25" t="s">
        <v>282</v>
      </c>
      <c r="I122" s="25" t="s">
        <v>283</v>
      </c>
      <c r="J122" s="25" t="s">
        <v>284</v>
      </c>
      <c r="K122" s="25" t="s">
        <v>285</v>
      </c>
      <c r="L122" s="8"/>
      <c r="M122" s="8"/>
      <c r="N122" s="8"/>
    </row>
    <row r="123" spans="1:14" ht="15.4" customHeight="1" thickBot="1" x14ac:dyDescent="0.25">
      <c r="A123" s="8"/>
      <c r="B123" s="8"/>
      <c r="C123" s="8"/>
      <c r="D123" s="26"/>
      <c r="E123" s="27" t="s">
        <v>286</v>
      </c>
      <c r="F123" s="28"/>
      <c r="G123" s="29"/>
      <c r="H123" s="29"/>
      <c r="I123" s="29"/>
      <c r="J123" s="34" t="s">
        <v>287</v>
      </c>
      <c r="K123" s="35"/>
      <c r="L123" s="8"/>
      <c r="M123" s="8"/>
      <c r="N123" s="8"/>
    </row>
    <row r="124" spans="1:14" ht="21.6" customHeight="1" thickBot="1" x14ac:dyDescent="0.25">
      <c r="A124" s="8"/>
      <c r="B124" s="8"/>
      <c r="C124" s="8"/>
      <c r="D124" s="26"/>
      <c r="E124" s="6" t="s">
        <v>288</v>
      </c>
      <c r="F124" s="4">
        <v>1</v>
      </c>
      <c r="G124" s="22">
        <v>20</v>
      </c>
      <c r="H124" s="22"/>
      <c r="I124" s="22">
        <v>3.85</v>
      </c>
      <c r="J124" s="30">
        <f t="shared" ref="J124:J129" si="1">ROUND(F124*G124*I124,2)</f>
        <v>77</v>
      </c>
      <c r="K124" s="8"/>
      <c r="L124" s="8"/>
      <c r="M124" s="8"/>
      <c r="N124" s="8"/>
    </row>
    <row r="125" spans="1:14" ht="15.4" customHeight="1" thickBot="1" x14ac:dyDescent="0.25">
      <c r="A125" s="8"/>
      <c r="B125" s="8"/>
      <c r="C125" s="8"/>
      <c r="D125" s="26"/>
      <c r="E125" s="6" t="s">
        <v>289</v>
      </c>
      <c r="F125" s="4">
        <v>1</v>
      </c>
      <c r="G125" s="22">
        <v>3.5</v>
      </c>
      <c r="H125" s="22"/>
      <c r="I125" s="22">
        <v>2.4</v>
      </c>
      <c r="J125" s="30">
        <f t="shared" si="1"/>
        <v>8.4</v>
      </c>
      <c r="K125" s="8"/>
      <c r="L125" s="8"/>
      <c r="M125" s="8"/>
      <c r="N125" s="8"/>
    </row>
    <row r="126" spans="1:14" ht="15.4" customHeight="1" thickBot="1" x14ac:dyDescent="0.25">
      <c r="A126" s="8"/>
      <c r="B126" s="8"/>
      <c r="C126" s="8"/>
      <c r="D126" s="26"/>
      <c r="E126" s="6" t="s">
        <v>290</v>
      </c>
      <c r="F126" s="4">
        <v>1</v>
      </c>
      <c r="G126" s="22">
        <v>15</v>
      </c>
      <c r="H126" s="22"/>
      <c r="I126" s="22">
        <v>3.61</v>
      </c>
      <c r="J126" s="30">
        <f t="shared" si="1"/>
        <v>54.15</v>
      </c>
      <c r="K126" s="8"/>
      <c r="L126" s="8"/>
      <c r="M126" s="8"/>
      <c r="N126" s="8"/>
    </row>
    <row r="127" spans="1:14" ht="15.4" customHeight="1" thickBot="1" x14ac:dyDescent="0.25">
      <c r="A127" s="8"/>
      <c r="B127" s="8"/>
      <c r="C127" s="8"/>
      <c r="D127" s="26"/>
      <c r="E127" s="6" t="s">
        <v>291</v>
      </c>
      <c r="F127" s="4">
        <v>1</v>
      </c>
      <c r="G127" s="22">
        <v>6</v>
      </c>
      <c r="H127" s="22"/>
      <c r="I127" s="22">
        <v>2.4</v>
      </c>
      <c r="J127" s="30">
        <f t="shared" si="1"/>
        <v>14.4</v>
      </c>
      <c r="K127" s="8"/>
      <c r="L127" s="8"/>
      <c r="M127" s="8"/>
      <c r="N127" s="8"/>
    </row>
    <row r="128" spans="1:14" ht="15.4" customHeight="1" thickBot="1" x14ac:dyDescent="0.25">
      <c r="A128" s="8"/>
      <c r="B128" s="8"/>
      <c r="C128" s="8"/>
      <c r="D128" s="26"/>
      <c r="E128" s="6" t="s">
        <v>292</v>
      </c>
      <c r="F128" s="4">
        <v>1</v>
      </c>
      <c r="G128" s="22">
        <v>6.5</v>
      </c>
      <c r="H128" s="22"/>
      <c r="I128" s="22">
        <v>3.85</v>
      </c>
      <c r="J128" s="30">
        <f t="shared" si="1"/>
        <v>25.03</v>
      </c>
      <c r="K128" s="8"/>
      <c r="L128" s="8"/>
      <c r="M128" s="8"/>
      <c r="N128" s="8"/>
    </row>
    <row r="129" spans="1:14" ht="15.4" customHeight="1" thickBot="1" x14ac:dyDescent="0.25">
      <c r="A129" s="8"/>
      <c r="B129" s="8"/>
      <c r="C129" s="8"/>
      <c r="D129" s="26"/>
      <c r="E129" s="6" t="s">
        <v>293</v>
      </c>
      <c r="F129" s="4">
        <v>2</v>
      </c>
      <c r="G129" s="22">
        <v>22</v>
      </c>
      <c r="H129" s="22"/>
      <c r="I129" s="22">
        <v>3.85</v>
      </c>
      <c r="J129" s="30">
        <f t="shared" si="1"/>
        <v>169.4</v>
      </c>
      <c r="K129" s="32">
        <f>SUM(J123:J129)</f>
        <v>348.38</v>
      </c>
      <c r="L129" s="8"/>
      <c r="M129" s="8"/>
      <c r="N129" s="8"/>
    </row>
    <row r="130" spans="1:14" ht="15.4" customHeight="1" thickBot="1" x14ac:dyDescent="0.25">
      <c r="A130" s="12" t="s">
        <v>294</v>
      </c>
      <c r="B130" s="6" t="s">
        <v>295</v>
      </c>
      <c r="C130" s="6" t="s">
        <v>296</v>
      </c>
      <c r="D130" s="60" t="s">
        <v>297</v>
      </c>
      <c r="E130" s="60"/>
      <c r="F130" s="60"/>
      <c r="G130" s="60"/>
      <c r="H130" s="60"/>
      <c r="I130" s="60"/>
      <c r="J130" s="60"/>
      <c r="K130" s="22">
        <f>SUM(K133:K137)</f>
        <v>252.17999999999998</v>
      </c>
      <c r="L130" s="22">
        <f>ROUND(38.08*(1+M2/100),2)</f>
        <v>38.08</v>
      </c>
      <c r="M130" s="22">
        <f>ROUND(K130*L130,2)</f>
        <v>9603.01</v>
      </c>
      <c r="N130" s="8"/>
    </row>
    <row r="131" spans="1:14" ht="40.35" customHeight="1" thickBot="1" x14ac:dyDescent="0.25">
      <c r="A131" s="8"/>
      <c r="B131" s="8"/>
      <c r="C131" s="8"/>
      <c r="D131" s="60" t="s">
        <v>298</v>
      </c>
      <c r="E131" s="60"/>
      <c r="F131" s="60"/>
      <c r="G131" s="60"/>
      <c r="H131" s="60"/>
      <c r="I131" s="60"/>
      <c r="J131" s="60"/>
      <c r="K131" s="60"/>
      <c r="L131" s="60"/>
      <c r="M131" s="60"/>
      <c r="N131" s="8"/>
    </row>
    <row r="132" spans="1:14" ht="15.4" customHeight="1" thickBot="1" x14ac:dyDescent="0.25">
      <c r="A132" s="8"/>
      <c r="B132" s="8"/>
      <c r="C132" s="8"/>
      <c r="D132" s="8"/>
      <c r="E132" s="23"/>
      <c r="F132" s="25" t="s">
        <v>299</v>
      </c>
      <c r="G132" s="25" t="s">
        <v>300</v>
      </c>
      <c r="H132" s="25" t="s">
        <v>301</v>
      </c>
      <c r="I132" s="25" t="s">
        <v>302</v>
      </c>
      <c r="J132" s="25" t="s">
        <v>303</v>
      </c>
      <c r="K132" s="25" t="s">
        <v>304</v>
      </c>
      <c r="L132" s="8"/>
      <c r="M132" s="8"/>
      <c r="N132" s="8"/>
    </row>
    <row r="133" spans="1:14" ht="15.4" customHeight="1" thickBot="1" x14ac:dyDescent="0.25">
      <c r="A133" s="8"/>
      <c r="B133" s="8"/>
      <c r="C133" s="8"/>
      <c r="D133" s="26"/>
      <c r="E133" s="27" t="s">
        <v>305</v>
      </c>
      <c r="F133" s="28"/>
      <c r="G133" s="29"/>
      <c r="H133" s="29"/>
      <c r="I133" s="29"/>
      <c r="J133" s="34" t="s">
        <v>306</v>
      </c>
      <c r="K133" s="35"/>
      <c r="L133" s="8"/>
      <c r="M133" s="8"/>
      <c r="N133" s="8"/>
    </row>
    <row r="134" spans="1:14" ht="15.4" customHeight="1" thickBot="1" x14ac:dyDescent="0.25">
      <c r="A134" s="8"/>
      <c r="B134" s="8"/>
      <c r="C134" s="8"/>
      <c r="D134" s="26"/>
      <c r="E134" s="6" t="s">
        <v>307</v>
      </c>
      <c r="F134" s="4">
        <v>1</v>
      </c>
      <c r="G134" s="22">
        <v>50</v>
      </c>
      <c r="H134" s="22"/>
      <c r="I134" s="22">
        <v>3.85</v>
      </c>
      <c r="J134" s="30">
        <f>ROUND(F134*G134*I134,2)</f>
        <v>192.5</v>
      </c>
      <c r="K134" s="8"/>
      <c r="L134" s="8"/>
      <c r="M134" s="8"/>
      <c r="N134" s="8"/>
    </row>
    <row r="135" spans="1:14" ht="15.4" customHeight="1" thickBot="1" x14ac:dyDescent="0.25">
      <c r="A135" s="8"/>
      <c r="B135" s="8"/>
      <c r="C135" s="8"/>
      <c r="D135" s="26"/>
      <c r="E135" s="6" t="s">
        <v>308</v>
      </c>
      <c r="F135" s="4">
        <v>4</v>
      </c>
      <c r="G135" s="22">
        <v>3</v>
      </c>
      <c r="H135" s="22"/>
      <c r="I135" s="22">
        <v>3.85</v>
      </c>
      <c r="J135" s="30">
        <f>ROUND(F135*G135*I135,2)</f>
        <v>46.2</v>
      </c>
      <c r="K135" s="8"/>
      <c r="L135" s="8"/>
      <c r="M135" s="8"/>
      <c r="N135" s="8"/>
    </row>
    <row r="136" spans="1:14" ht="15.4" customHeight="1" thickBot="1" x14ac:dyDescent="0.25">
      <c r="A136" s="8"/>
      <c r="B136" s="8"/>
      <c r="C136" s="8"/>
      <c r="D136" s="26"/>
      <c r="E136" s="6"/>
      <c r="F136" s="4">
        <v>1</v>
      </c>
      <c r="G136" s="22">
        <v>1.5</v>
      </c>
      <c r="H136" s="22"/>
      <c r="I136" s="22">
        <v>3.85</v>
      </c>
      <c r="J136" s="30">
        <f>ROUND(F136*G136*I136,2)</f>
        <v>5.78</v>
      </c>
      <c r="K136" s="8"/>
      <c r="L136" s="8"/>
      <c r="M136" s="8"/>
      <c r="N136" s="8"/>
    </row>
    <row r="137" spans="1:14" ht="15.4" customHeight="1" thickBot="1" x14ac:dyDescent="0.25">
      <c r="A137" s="8"/>
      <c r="B137" s="8"/>
      <c r="C137" s="8"/>
      <c r="D137" s="26"/>
      <c r="E137" s="6" t="s">
        <v>309</v>
      </c>
      <c r="F137" s="4">
        <v>1</v>
      </c>
      <c r="G137" s="22">
        <v>2</v>
      </c>
      <c r="H137" s="22"/>
      <c r="I137" s="22">
        <v>3.85</v>
      </c>
      <c r="J137" s="30">
        <f>ROUND(F137*G137*I137,2)</f>
        <v>7.7</v>
      </c>
      <c r="K137" s="32">
        <f>SUM(J133:J137)</f>
        <v>252.17999999999998</v>
      </c>
      <c r="L137" s="8"/>
      <c r="M137" s="8"/>
      <c r="N137" s="8"/>
    </row>
    <row r="138" spans="1:14" ht="15.4" customHeight="1" thickBot="1" x14ac:dyDescent="0.25">
      <c r="A138" s="12" t="s">
        <v>310</v>
      </c>
      <c r="B138" s="6" t="s">
        <v>311</v>
      </c>
      <c r="C138" s="6" t="s">
        <v>312</v>
      </c>
      <c r="D138" s="60" t="s">
        <v>313</v>
      </c>
      <c r="E138" s="60"/>
      <c r="F138" s="60"/>
      <c r="G138" s="60"/>
      <c r="H138" s="60"/>
      <c r="I138" s="60"/>
      <c r="J138" s="60"/>
      <c r="K138" s="22">
        <f>SUM(K141:K142)</f>
        <v>19.8</v>
      </c>
      <c r="L138" s="22">
        <f>ROUND(35.71*(1+M2/100),2)</f>
        <v>35.71</v>
      </c>
      <c r="M138" s="22">
        <f>ROUND(K138*L138,2)</f>
        <v>707.06</v>
      </c>
      <c r="N138" s="8"/>
    </row>
    <row r="139" spans="1:14" ht="12.2" customHeight="1" thickBot="1" x14ac:dyDescent="0.25">
      <c r="A139" s="8"/>
      <c r="B139" s="8"/>
      <c r="C139" s="8"/>
      <c r="D139" s="60" t="s">
        <v>314</v>
      </c>
      <c r="E139" s="60"/>
      <c r="F139" s="60"/>
      <c r="G139" s="60"/>
      <c r="H139" s="60"/>
      <c r="I139" s="60"/>
      <c r="J139" s="60"/>
      <c r="K139" s="60"/>
      <c r="L139" s="60"/>
      <c r="M139" s="60"/>
      <c r="N139" s="8"/>
    </row>
    <row r="140" spans="1:14" ht="15.4" customHeight="1" thickBot="1" x14ac:dyDescent="0.25">
      <c r="A140" s="8"/>
      <c r="B140" s="8"/>
      <c r="C140" s="8"/>
      <c r="D140" s="8"/>
      <c r="E140" s="23"/>
      <c r="F140" s="25" t="s">
        <v>315</v>
      </c>
      <c r="G140" s="25" t="s">
        <v>316</v>
      </c>
      <c r="H140" s="25" t="s">
        <v>317</v>
      </c>
      <c r="I140" s="25" t="s">
        <v>318</v>
      </c>
      <c r="J140" s="25" t="s">
        <v>319</v>
      </c>
      <c r="K140" s="25" t="s">
        <v>320</v>
      </c>
      <c r="L140" s="8"/>
      <c r="M140" s="8"/>
      <c r="N140" s="8"/>
    </row>
    <row r="141" spans="1:14" ht="15.4" customHeight="1" thickBot="1" x14ac:dyDescent="0.25">
      <c r="A141" s="8"/>
      <c r="B141" s="8"/>
      <c r="C141" s="8"/>
      <c r="D141" s="26"/>
      <c r="E141" s="27" t="s">
        <v>321</v>
      </c>
      <c r="F141" s="28">
        <v>2</v>
      </c>
      <c r="G141" s="29">
        <v>12.5</v>
      </c>
      <c r="H141" s="29"/>
      <c r="I141" s="29">
        <v>0.6</v>
      </c>
      <c r="J141" s="31">
        <f>ROUND(F141*G141*I141,2)</f>
        <v>15</v>
      </c>
      <c r="K141" s="35"/>
      <c r="L141" s="8"/>
      <c r="M141" s="8"/>
      <c r="N141" s="8"/>
    </row>
    <row r="142" spans="1:14" ht="21.6" customHeight="1" thickBot="1" x14ac:dyDescent="0.25">
      <c r="A142" s="8"/>
      <c r="B142" s="8"/>
      <c r="C142" s="8"/>
      <c r="D142" s="26"/>
      <c r="E142" s="6" t="s">
        <v>322</v>
      </c>
      <c r="F142" s="4">
        <v>2</v>
      </c>
      <c r="G142" s="22">
        <v>4</v>
      </c>
      <c r="H142" s="22"/>
      <c r="I142" s="22">
        <v>0.6</v>
      </c>
      <c r="J142" s="30">
        <f>ROUND(F142*G142*I142,2)</f>
        <v>4.8</v>
      </c>
      <c r="K142" s="32">
        <f>SUM(J141:J142)</f>
        <v>19.8</v>
      </c>
      <c r="L142" s="8"/>
      <c r="M142" s="8"/>
      <c r="N142" s="8"/>
    </row>
    <row r="143" spans="1:14" ht="15.4" customHeight="1" thickBot="1" x14ac:dyDescent="0.25">
      <c r="A143" s="12" t="s">
        <v>323</v>
      </c>
      <c r="B143" s="6" t="s">
        <v>324</v>
      </c>
      <c r="C143" s="6" t="s">
        <v>325</v>
      </c>
      <c r="D143" s="60" t="s">
        <v>326</v>
      </c>
      <c r="E143" s="60"/>
      <c r="F143" s="60"/>
      <c r="G143" s="60"/>
      <c r="H143" s="60"/>
      <c r="I143" s="60"/>
      <c r="J143" s="60"/>
      <c r="K143" s="22">
        <f>SUM(K146:K148)</f>
        <v>50.06</v>
      </c>
      <c r="L143" s="22">
        <f>ROUND(59.5*(1+M2/100),2)</f>
        <v>59.5</v>
      </c>
      <c r="M143" s="22">
        <f>ROUND(K143*L143,2)</f>
        <v>2978.57</v>
      </c>
      <c r="N143" s="8"/>
    </row>
    <row r="144" spans="1:14" ht="49.7" customHeight="1" thickBot="1" x14ac:dyDescent="0.25">
      <c r="A144" s="8"/>
      <c r="B144" s="8"/>
      <c r="C144" s="8"/>
      <c r="D144" s="60" t="s">
        <v>327</v>
      </c>
      <c r="E144" s="60"/>
      <c r="F144" s="60"/>
      <c r="G144" s="60"/>
      <c r="H144" s="60"/>
      <c r="I144" s="60"/>
      <c r="J144" s="60"/>
      <c r="K144" s="60"/>
      <c r="L144" s="60"/>
      <c r="M144" s="60"/>
      <c r="N144" s="8"/>
    </row>
    <row r="145" spans="1:14" ht="15.4" customHeight="1" thickBot="1" x14ac:dyDescent="0.25">
      <c r="A145" s="8"/>
      <c r="B145" s="8"/>
      <c r="C145" s="8"/>
      <c r="D145" s="8"/>
      <c r="E145" s="23"/>
      <c r="F145" s="25" t="s">
        <v>328</v>
      </c>
      <c r="G145" s="25" t="s">
        <v>329</v>
      </c>
      <c r="H145" s="25" t="s">
        <v>330</v>
      </c>
      <c r="I145" s="25" t="s">
        <v>331</v>
      </c>
      <c r="J145" s="25" t="s">
        <v>332</v>
      </c>
      <c r="K145" s="25" t="s">
        <v>333</v>
      </c>
      <c r="L145" s="8"/>
      <c r="M145" s="8"/>
      <c r="N145" s="8"/>
    </row>
    <row r="146" spans="1:14" ht="21.6" customHeight="1" thickBot="1" x14ac:dyDescent="0.25">
      <c r="A146" s="8"/>
      <c r="B146" s="8"/>
      <c r="C146" s="8"/>
      <c r="D146" s="26"/>
      <c r="E146" s="27" t="s">
        <v>334</v>
      </c>
      <c r="F146" s="28">
        <v>1</v>
      </c>
      <c r="G146" s="29">
        <v>1.5</v>
      </c>
      <c r="H146" s="29"/>
      <c r="I146" s="29">
        <v>3.85</v>
      </c>
      <c r="J146" s="31">
        <f>ROUND(F146*G146*I146,2)</f>
        <v>5.78</v>
      </c>
      <c r="K146" s="35"/>
      <c r="L146" s="8"/>
      <c r="M146" s="8"/>
      <c r="N146" s="8"/>
    </row>
    <row r="147" spans="1:14" ht="21.6" customHeight="1" thickBot="1" x14ac:dyDescent="0.25">
      <c r="A147" s="8"/>
      <c r="B147" s="8"/>
      <c r="C147" s="8"/>
      <c r="D147" s="26"/>
      <c r="E147" s="6" t="s">
        <v>335</v>
      </c>
      <c r="F147" s="4">
        <v>1</v>
      </c>
      <c r="G147" s="22">
        <v>8.5</v>
      </c>
      <c r="H147" s="22"/>
      <c r="I147" s="22">
        <v>3.85</v>
      </c>
      <c r="J147" s="30">
        <f>ROUND(F147*G147*I147,2)</f>
        <v>32.729999999999997</v>
      </c>
      <c r="K147" s="8"/>
      <c r="L147" s="8"/>
      <c r="M147" s="8"/>
      <c r="N147" s="8"/>
    </row>
    <row r="148" spans="1:14" ht="15.4" customHeight="1" thickBot="1" x14ac:dyDescent="0.25">
      <c r="A148" s="8"/>
      <c r="B148" s="8"/>
      <c r="C148" s="8"/>
      <c r="D148" s="26"/>
      <c r="E148" s="6" t="s">
        <v>336</v>
      </c>
      <c r="F148" s="4">
        <v>1</v>
      </c>
      <c r="G148" s="22">
        <v>3</v>
      </c>
      <c r="H148" s="22"/>
      <c r="I148" s="22">
        <v>3.85</v>
      </c>
      <c r="J148" s="30">
        <f>ROUND(F148*G148*I148,2)</f>
        <v>11.55</v>
      </c>
      <c r="K148" s="32">
        <f>SUM(J146:J148)</f>
        <v>50.06</v>
      </c>
      <c r="L148" s="8"/>
      <c r="M148" s="8"/>
      <c r="N148" s="8"/>
    </row>
    <row r="149" spans="1:14" ht="15.4" customHeight="1" thickBot="1" x14ac:dyDescent="0.25">
      <c r="A149" s="12" t="s">
        <v>337</v>
      </c>
      <c r="B149" s="6" t="s">
        <v>338</v>
      </c>
      <c r="C149" s="6" t="s">
        <v>339</v>
      </c>
      <c r="D149" s="60" t="s">
        <v>340</v>
      </c>
      <c r="E149" s="60"/>
      <c r="F149" s="60"/>
      <c r="G149" s="60"/>
      <c r="H149" s="60"/>
      <c r="I149" s="60"/>
      <c r="J149" s="60"/>
      <c r="K149" s="22">
        <f>SUM(K152:K153)</f>
        <v>69.3</v>
      </c>
      <c r="L149" s="22">
        <f>ROUND(107.09*(1+M2/100),2)</f>
        <v>107.09</v>
      </c>
      <c r="M149" s="22">
        <f>ROUND(K149*L149,2)</f>
        <v>7421.34</v>
      </c>
      <c r="N149" s="8"/>
    </row>
    <row r="150" spans="1:14" ht="68.45" customHeight="1" thickBot="1" x14ac:dyDescent="0.25">
      <c r="A150" s="8"/>
      <c r="B150" s="8"/>
      <c r="C150" s="8"/>
      <c r="D150" s="60" t="s">
        <v>341</v>
      </c>
      <c r="E150" s="60"/>
      <c r="F150" s="60"/>
      <c r="G150" s="60"/>
      <c r="H150" s="60"/>
      <c r="I150" s="60"/>
      <c r="J150" s="60"/>
      <c r="K150" s="60"/>
      <c r="L150" s="60"/>
      <c r="M150" s="60"/>
      <c r="N150" s="8"/>
    </row>
    <row r="151" spans="1:14" ht="15.4" customHeight="1" thickBot="1" x14ac:dyDescent="0.25">
      <c r="A151" s="8"/>
      <c r="B151" s="8"/>
      <c r="C151" s="8"/>
      <c r="D151" s="8"/>
      <c r="E151" s="23"/>
      <c r="F151" s="25" t="s">
        <v>342</v>
      </c>
      <c r="G151" s="25" t="s">
        <v>343</v>
      </c>
      <c r="H151" s="25" t="s">
        <v>344</v>
      </c>
      <c r="I151" s="25" t="s">
        <v>345</v>
      </c>
      <c r="J151" s="25" t="s">
        <v>346</v>
      </c>
      <c r="K151" s="25" t="s">
        <v>347</v>
      </c>
      <c r="L151" s="8"/>
      <c r="M151" s="8"/>
      <c r="N151" s="8"/>
    </row>
    <row r="152" spans="1:14" ht="15.4" customHeight="1" thickBot="1" x14ac:dyDescent="0.25">
      <c r="A152" s="8"/>
      <c r="B152" s="8"/>
      <c r="C152" s="8"/>
      <c r="D152" s="26"/>
      <c r="E152" s="27" t="s">
        <v>348</v>
      </c>
      <c r="F152" s="28">
        <v>1</v>
      </c>
      <c r="G152" s="29">
        <v>15</v>
      </c>
      <c r="H152" s="29"/>
      <c r="I152" s="29">
        <v>3.85</v>
      </c>
      <c r="J152" s="31">
        <f>ROUND(F152*G152*I152,2)</f>
        <v>57.75</v>
      </c>
      <c r="K152" s="35"/>
      <c r="L152" s="8"/>
      <c r="M152" s="8"/>
      <c r="N152" s="8"/>
    </row>
    <row r="153" spans="1:14" ht="15.4" customHeight="1" thickBot="1" x14ac:dyDescent="0.25">
      <c r="A153" s="8"/>
      <c r="B153" s="8"/>
      <c r="C153" s="8"/>
      <c r="D153" s="26"/>
      <c r="E153" s="6" t="s">
        <v>349</v>
      </c>
      <c r="F153" s="4">
        <v>1</v>
      </c>
      <c r="G153" s="22">
        <v>3</v>
      </c>
      <c r="H153" s="22"/>
      <c r="I153" s="22">
        <v>3.85</v>
      </c>
      <c r="J153" s="30">
        <f>ROUND(F153*G153*I153,2)</f>
        <v>11.55</v>
      </c>
      <c r="K153" s="32">
        <f>SUM(J152:J153)</f>
        <v>69.3</v>
      </c>
      <c r="L153" s="8"/>
      <c r="M153" s="8"/>
      <c r="N153" s="8"/>
    </row>
    <row r="154" spans="1:14" ht="15.4" customHeight="1" thickBot="1" x14ac:dyDescent="0.25">
      <c r="A154" s="12" t="s">
        <v>350</v>
      </c>
      <c r="B154" s="6" t="s">
        <v>351</v>
      </c>
      <c r="C154" s="6" t="s">
        <v>352</v>
      </c>
      <c r="D154" s="60" t="s">
        <v>353</v>
      </c>
      <c r="E154" s="60"/>
      <c r="F154" s="60"/>
      <c r="G154" s="60"/>
      <c r="H154" s="60"/>
      <c r="I154" s="60"/>
      <c r="J154" s="60"/>
      <c r="K154" s="22">
        <f>SUM(K157:K161)</f>
        <v>130.9</v>
      </c>
      <c r="L154" s="22">
        <f>ROUND(38.08*(1+M2/100),2)</f>
        <v>38.08</v>
      </c>
      <c r="M154" s="22">
        <f>ROUND(K154*L154,2)</f>
        <v>4984.67</v>
      </c>
      <c r="N154" s="8"/>
    </row>
    <row r="155" spans="1:14" ht="59.1" customHeight="1" thickBot="1" x14ac:dyDescent="0.25">
      <c r="A155" s="8"/>
      <c r="B155" s="8"/>
      <c r="C155" s="8"/>
      <c r="D155" s="60" t="s">
        <v>354</v>
      </c>
      <c r="E155" s="60"/>
      <c r="F155" s="60"/>
      <c r="G155" s="60"/>
      <c r="H155" s="60"/>
      <c r="I155" s="60"/>
      <c r="J155" s="60"/>
      <c r="K155" s="60"/>
      <c r="L155" s="60"/>
      <c r="M155" s="60"/>
      <c r="N155" s="8"/>
    </row>
    <row r="156" spans="1:14" ht="15.4" customHeight="1" thickBot="1" x14ac:dyDescent="0.25">
      <c r="A156" s="8"/>
      <c r="B156" s="8"/>
      <c r="C156" s="8"/>
      <c r="D156" s="8"/>
      <c r="E156" s="23"/>
      <c r="F156" s="25" t="s">
        <v>355</v>
      </c>
      <c r="G156" s="25" t="s">
        <v>356</v>
      </c>
      <c r="H156" s="25" t="s">
        <v>357</v>
      </c>
      <c r="I156" s="25" t="s">
        <v>358</v>
      </c>
      <c r="J156" s="25" t="s">
        <v>359</v>
      </c>
      <c r="K156" s="25" t="s">
        <v>360</v>
      </c>
      <c r="L156" s="8"/>
      <c r="M156" s="8"/>
      <c r="N156" s="8"/>
    </row>
    <row r="157" spans="1:14" ht="15.4" customHeight="1" thickBot="1" x14ac:dyDescent="0.25">
      <c r="A157" s="8"/>
      <c r="B157" s="8"/>
      <c r="C157" s="8"/>
      <c r="D157" s="26"/>
      <c r="E157" s="27" t="s">
        <v>361</v>
      </c>
      <c r="F157" s="28"/>
      <c r="G157" s="29"/>
      <c r="H157" s="29"/>
      <c r="I157" s="29"/>
      <c r="J157" s="34" t="s">
        <v>362</v>
      </c>
      <c r="K157" s="35"/>
      <c r="L157" s="8"/>
      <c r="M157" s="8"/>
      <c r="N157" s="8"/>
    </row>
    <row r="158" spans="1:14" ht="15.4" customHeight="1" thickBot="1" x14ac:dyDescent="0.25">
      <c r="A158" s="8"/>
      <c r="B158" s="8"/>
      <c r="C158" s="8"/>
      <c r="D158" s="26"/>
      <c r="E158" s="6" t="s">
        <v>363</v>
      </c>
      <c r="F158" s="4">
        <v>2</v>
      </c>
      <c r="G158" s="22">
        <v>12</v>
      </c>
      <c r="H158" s="22"/>
      <c r="I158" s="22">
        <v>3.85</v>
      </c>
      <c r="J158" s="30">
        <f>ROUND(F158*G158*I158,2)</f>
        <v>92.4</v>
      </c>
      <c r="K158" s="8"/>
      <c r="L158" s="8"/>
      <c r="M158" s="8"/>
      <c r="N158" s="8"/>
    </row>
    <row r="159" spans="1:14" ht="21.6" customHeight="1" thickBot="1" x14ac:dyDescent="0.25">
      <c r="A159" s="8"/>
      <c r="B159" s="8"/>
      <c r="C159" s="8"/>
      <c r="D159" s="26"/>
      <c r="E159" s="6" t="s">
        <v>364</v>
      </c>
      <c r="F159" s="4"/>
      <c r="G159" s="22"/>
      <c r="H159" s="22"/>
      <c r="I159" s="22"/>
      <c r="J159" s="24" t="s">
        <v>365</v>
      </c>
      <c r="K159" s="8"/>
      <c r="L159" s="8"/>
      <c r="M159" s="8"/>
      <c r="N159" s="8"/>
    </row>
    <row r="160" spans="1:14" ht="15.4" customHeight="1" thickBot="1" x14ac:dyDescent="0.25">
      <c r="A160" s="8"/>
      <c r="B160" s="8"/>
      <c r="C160" s="8"/>
      <c r="D160" s="26"/>
      <c r="E160" s="6"/>
      <c r="F160" s="4">
        <v>2</v>
      </c>
      <c r="G160" s="22">
        <v>3</v>
      </c>
      <c r="H160" s="22"/>
      <c r="I160" s="22">
        <v>3.85</v>
      </c>
      <c r="J160" s="30">
        <f>ROUND(F160*G160*I160,2)</f>
        <v>23.1</v>
      </c>
      <c r="K160" s="8"/>
      <c r="L160" s="8"/>
      <c r="M160" s="8"/>
      <c r="N160" s="8"/>
    </row>
    <row r="161" spans="1:14" ht="15.4" customHeight="1" thickBot="1" x14ac:dyDescent="0.25">
      <c r="A161" s="8"/>
      <c r="B161" s="8"/>
      <c r="C161" s="8"/>
      <c r="D161" s="26"/>
      <c r="E161" s="6"/>
      <c r="F161" s="4">
        <v>2</v>
      </c>
      <c r="G161" s="22">
        <v>2</v>
      </c>
      <c r="H161" s="22"/>
      <c r="I161" s="22">
        <v>3.85</v>
      </c>
      <c r="J161" s="30">
        <f>ROUND(F161*G161*I161,2)</f>
        <v>15.4</v>
      </c>
      <c r="K161" s="32">
        <f>SUM(J157:J161)</f>
        <v>130.9</v>
      </c>
      <c r="L161" s="8"/>
      <c r="M161" s="8"/>
      <c r="N161" s="8"/>
    </row>
    <row r="162" spans="1:14" ht="15.4" customHeight="1" thickBot="1" x14ac:dyDescent="0.25">
      <c r="A162" s="36"/>
      <c r="B162" s="36"/>
      <c r="C162" s="36"/>
      <c r="D162" s="37" t="s">
        <v>366</v>
      </c>
      <c r="E162" s="38"/>
      <c r="F162" s="38"/>
      <c r="G162" s="38"/>
      <c r="H162" s="38"/>
      <c r="I162" s="38"/>
      <c r="J162" s="38"/>
      <c r="K162" s="38"/>
      <c r="L162" s="39">
        <f>M111+M120+M130+M138+M143+M149+M154</f>
        <v>52362.94</v>
      </c>
      <c r="M162" s="39">
        <f>ROUND(L162,2)</f>
        <v>52362.94</v>
      </c>
      <c r="N162" s="8"/>
    </row>
    <row r="163" spans="1:14" ht="15.4" customHeight="1" thickBot="1" x14ac:dyDescent="0.25">
      <c r="A163" s="40" t="s">
        <v>367</v>
      </c>
      <c r="B163" s="40" t="s">
        <v>368</v>
      </c>
      <c r="C163" s="41"/>
      <c r="D163" s="61" t="s">
        <v>369</v>
      </c>
      <c r="E163" s="61"/>
      <c r="F163" s="61"/>
      <c r="G163" s="61"/>
      <c r="H163" s="61"/>
      <c r="I163" s="61"/>
      <c r="J163" s="61"/>
      <c r="K163" s="41"/>
      <c r="L163" s="42">
        <f>L173</f>
        <v>3441.18</v>
      </c>
      <c r="M163" s="42">
        <f>ROUND(L163,2)</f>
        <v>3441.18</v>
      </c>
      <c r="N163" s="8"/>
    </row>
    <row r="164" spans="1:14" ht="15.4" customHeight="1" thickBot="1" x14ac:dyDescent="0.25">
      <c r="A164" s="12" t="s">
        <v>370</v>
      </c>
      <c r="B164" s="6" t="s">
        <v>371</v>
      </c>
      <c r="C164" s="6" t="s">
        <v>372</v>
      </c>
      <c r="D164" s="60" t="s">
        <v>373</v>
      </c>
      <c r="E164" s="60"/>
      <c r="F164" s="60"/>
      <c r="G164" s="60"/>
      <c r="H164" s="60"/>
      <c r="I164" s="60"/>
      <c r="J164" s="60"/>
      <c r="K164" s="22">
        <f>SUM(K167:K167)</f>
        <v>6</v>
      </c>
      <c r="L164" s="22">
        <f>ROUND(38.08*(1+M2/100),2)</f>
        <v>38.08</v>
      </c>
      <c r="M164" s="22">
        <f>ROUND(K164*L164,2)</f>
        <v>228.48</v>
      </c>
      <c r="N164" s="8"/>
    </row>
    <row r="165" spans="1:14" ht="68.45" customHeight="1" thickBot="1" x14ac:dyDescent="0.25">
      <c r="A165" s="8"/>
      <c r="B165" s="8"/>
      <c r="C165" s="8"/>
      <c r="D165" s="60" t="s">
        <v>374</v>
      </c>
      <c r="E165" s="60"/>
      <c r="F165" s="60"/>
      <c r="G165" s="60"/>
      <c r="H165" s="60"/>
      <c r="I165" s="60"/>
      <c r="J165" s="60"/>
      <c r="K165" s="60"/>
      <c r="L165" s="60"/>
      <c r="M165" s="60"/>
      <c r="N165" s="8"/>
    </row>
    <row r="166" spans="1:14" ht="15.4" customHeight="1" thickBot="1" x14ac:dyDescent="0.25">
      <c r="A166" s="8"/>
      <c r="B166" s="8"/>
      <c r="C166" s="8"/>
      <c r="D166" s="8"/>
      <c r="E166" s="23"/>
      <c r="F166" s="25" t="s">
        <v>375</v>
      </c>
      <c r="G166" s="25" t="s">
        <v>376</v>
      </c>
      <c r="H166" s="25" t="s">
        <v>377</v>
      </c>
      <c r="I166" s="25" t="s">
        <v>378</v>
      </c>
      <c r="J166" s="25" t="s">
        <v>379</v>
      </c>
      <c r="K166" s="25" t="s">
        <v>380</v>
      </c>
      <c r="L166" s="8"/>
      <c r="M166" s="8"/>
      <c r="N166" s="8"/>
    </row>
    <row r="167" spans="1:14" ht="30.95" customHeight="1" thickBot="1" x14ac:dyDescent="0.25">
      <c r="A167" s="8"/>
      <c r="B167" s="8"/>
      <c r="C167" s="8"/>
      <c r="D167" s="26"/>
      <c r="E167" s="27" t="s">
        <v>381</v>
      </c>
      <c r="F167" s="28">
        <v>3</v>
      </c>
      <c r="G167" s="29">
        <v>2</v>
      </c>
      <c r="H167" s="29"/>
      <c r="I167" s="29"/>
      <c r="J167" s="31">
        <f>ROUND(F167*G167,2)</f>
        <v>6</v>
      </c>
      <c r="K167" s="33">
        <f>SUM(J167:J167)</f>
        <v>6</v>
      </c>
      <c r="L167" s="8"/>
      <c r="M167" s="8"/>
      <c r="N167" s="8"/>
    </row>
    <row r="168" spans="1:14" ht="15.4" customHeight="1" thickBot="1" x14ac:dyDescent="0.25">
      <c r="A168" s="12" t="s">
        <v>382</v>
      </c>
      <c r="B168" s="6" t="s">
        <v>383</v>
      </c>
      <c r="C168" s="6" t="s">
        <v>384</v>
      </c>
      <c r="D168" s="60" t="s">
        <v>385</v>
      </c>
      <c r="E168" s="60"/>
      <c r="F168" s="60"/>
      <c r="G168" s="60"/>
      <c r="H168" s="60"/>
      <c r="I168" s="60"/>
      <c r="J168" s="60"/>
      <c r="K168" s="22">
        <f>SUM(K171:K172)</f>
        <v>30</v>
      </c>
      <c r="L168" s="22">
        <f>ROUND(107.09*(1+M2/100),2)</f>
        <v>107.09</v>
      </c>
      <c r="M168" s="22">
        <f>ROUND(K168*L168,2)</f>
        <v>3212.7</v>
      </c>
      <c r="N168" s="8"/>
    </row>
    <row r="169" spans="1:14" ht="77.849999999999994" customHeight="1" thickBot="1" x14ac:dyDescent="0.25">
      <c r="A169" s="8"/>
      <c r="B169" s="8"/>
      <c r="C169" s="8"/>
      <c r="D169" s="60" t="s">
        <v>386</v>
      </c>
      <c r="E169" s="60"/>
      <c r="F169" s="60"/>
      <c r="G169" s="60"/>
      <c r="H169" s="60"/>
      <c r="I169" s="60"/>
      <c r="J169" s="60"/>
      <c r="K169" s="60"/>
      <c r="L169" s="60"/>
      <c r="M169" s="60"/>
      <c r="N169" s="8"/>
    </row>
    <row r="170" spans="1:14" ht="15.4" customHeight="1" thickBot="1" x14ac:dyDescent="0.25">
      <c r="A170" s="8"/>
      <c r="B170" s="8"/>
      <c r="C170" s="8"/>
      <c r="D170" s="8"/>
      <c r="E170" s="23"/>
      <c r="F170" s="25" t="s">
        <v>387</v>
      </c>
      <c r="G170" s="25" t="s">
        <v>388</v>
      </c>
      <c r="H170" s="25" t="s">
        <v>389</v>
      </c>
      <c r="I170" s="25" t="s">
        <v>390</v>
      </c>
      <c r="J170" s="25" t="s">
        <v>391</v>
      </c>
      <c r="K170" s="25" t="s">
        <v>392</v>
      </c>
      <c r="L170" s="8"/>
      <c r="M170" s="8"/>
      <c r="N170" s="8"/>
    </row>
    <row r="171" spans="1:14" ht="15.4" customHeight="1" thickBot="1" x14ac:dyDescent="0.25">
      <c r="A171" s="8"/>
      <c r="B171" s="8"/>
      <c r="C171" s="8"/>
      <c r="D171" s="26"/>
      <c r="E171" s="27" t="s">
        <v>393</v>
      </c>
      <c r="F171" s="28"/>
      <c r="G171" s="29"/>
      <c r="H171" s="29"/>
      <c r="I171" s="29"/>
      <c r="J171" s="34" t="s">
        <v>394</v>
      </c>
      <c r="K171" s="35"/>
      <c r="L171" s="8"/>
      <c r="M171" s="8"/>
      <c r="N171" s="8"/>
    </row>
    <row r="172" spans="1:14" ht="15.4" customHeight="1" thickBot="1" x14ac:dyDescent="0.25">
      <c r="A172" s="8"/>
      <c r="B172" s="8"/>
      <c r="C172" s="8"/>
      <c r="D172" s="26"/>
      <c r="E172" s="6" t="s">
        <v>395</v>
      </c>
      <c r="F172" s="4">
        <v>1</v>
      </c>
      <c r="G172" s="22">
        <v>30</v>
      </c>
      <c r="H172" s="22"/>
      <c r="I172" s="22"/>
      <c r="J172" s="30">
        <f>ROUND(F172*G172,2)</f>
        <v>30</v>
      </c>
      <c r="K172" s="32">
        <f>SUM(J171:J172)</f>
        <v>30</v>
      </c>
      <c r="L172" s="8"/>
      <c r="M172" s="8"/>
      <c r="N172" s="8"/>
    </row>
    <row r="173" spans="1:14" ht="15.4" customHeight="1" thickBot="1" x14ac:dyDescent="0.25">
      <c r="A173" s="36"/>
      <c r="B173" s="36"/>
      <c r="C173" s="36"/>
      <c r="D173" s="37" t="s">
        <v>396</v>
      </c>
      <c r="E173" s="38"/>
      <c r="F173" s="38"/>
      <c r="G173" s="38"/>
      <c r="H173" s="38"/>
      <c r="I173" s="38"/>
      <c r="J173" s="38"/>
      <c r="K173" s="38"/>
      <c r="L173" s="39">
        <f>M164+M168</f>
        <v>3441.18</v>
      </c>
      <c r="M173" s="39">
        <f>ROUND(L173,2)</f>
        <v>3441.18</v>
      </c>
      <c r="N173" s="8"/>
    </row>
    <row r="174" spans="1:14" ht="15.4" customHeight="1" thickBot="1" x14ac:dyDescent="0.25">
      <c r="A174" s="40" t="s">
        <v>397</v>
      </c>
      <c r="B174" s="40" t="s">
        <v>398</v>
      </c>
      <c r="C174" s="41"/>
      <c r="D174" s="61" t="s">
        <v>399</v>
      </c>
      <c r="E174" s="61"/>
      <c r="F174" s="61"/>
      <c r="G174" s="61"/>
      <c r="H174" s="61"/>
      <c r="I174" s="61"/>
      <c r="J174" s="61"/>
      <c r="K174" s="41"/>
      <c r="L174" s="42">
        <f>L279</f>
        <v>54774.990000000005</v>
      </c>
      <c r="M174" s="42">
        <f>ROUND(L174,2)</f>
        <v>54774.99</v>
      </c>
      <c r="N174" s="8"/>
    </row>
    <row r="175" spans="1:14" ht="15.4" customHeight="1" thickBot="1" x14ac:dyDescent="0.25">
      <c r="A175" s="12" t="s">
        <v>400</v>
      </c>
      <c r="B175" s="6" t="s">
        <v>401</v>
      </c>
      <c r="C175" s="6" t="s">
        <v>402</v>
      </c>
      <c r="D175" s="60" t="s">
        <v>403</v>
      </c>
      <c r="E175" s="60"/>
      <c r="F175" s="60"/>
      <c r="G175" s="60"/>
      <c r="H175" s="60"/>
      <c r="I175" s="60"/>
      <c r="J175" s="60"/>
      <c r="K175" s="22">
        <f>SUM(K178:K182)</f>
        <v>27.450000000000003</v>
      </c>
      <c r="L175" s="22">
        <f>ROUND(35.7*(1+M2/100),2)</f>
        <v>35.700000000000003</v>
      </c>
      <c r="M175" s="22">
        <f>ROUND(K175*L175,2)</f>
        <v>979.97</v>
      </c>
      <c r="N175" s="8"/>
    </row>
    <row r="176" spans="1:14" ht="12.2" customHeight="1" thickBot="1" x14ac:dyDescent="0.25">
      <c r="A176" s="8"/>
      <c r="B176" s="8"/>
      <c r="C176" s="8"/>
      <c r="D176" s="60" t="s">
        <v>404</v>
      </c>
      <c r="E176" s="60"/>
      <c r="F176" s="60"/>
      <c r="G176" s="60"/>
      <c r="H176" s="60"/>
      <c r="I176" s="60"/>
      <c r="J176" s="60"/>
      <c r="K176" s="60"/>
      <c r="L176" s="60"/>
      <c r="M176" s="60"/>
      <c r="N176" s="8"/>
    </row>
    <row r="177" spans="1:14" ht="15.4" customHeight="1" thickBot="1" x14ac:dyDescent="0.25">
      <c r="A177" s="8"/>
      <c r="B177" s="8"/>
      <c r="C177" s="8"/>
      <c r="D177" s="8"/>
      <c r="E177" s="23"/>
      <c r="F177" s="25" t="s">
        <v>405</v>
      </c>
      <c r="G177" s="25" t="s">
        <v>406</v>
      </c>
      <c r="H177" s="25" t="s">
        <v>407</v>
      </c>
      <c r="I177" s="25" t="s">
        <v>408</v>
      </c>
      <c r="J177" s="25" t="s">
        <v>409</v>
      </c>
      <c r="K177" s="25" t="s">
        <v>410</v>
      </c>
      <c r="L177" s="8"/>
      <c r="M177" s="8"/>
      <c r="N177" s="8"/>
    </row>
    <row r="178" spans="1:14" ht="15.4" customHeight="1" thickBot="1" x14ac:dyDescent="0.25">
      <c r="A178" s="8"/>
      <c r="B178" s="8"/>
      <c r="C178" s="8"/>
      <c r="D178" s="26"/>
      <c r="E178" s="27" t="s">
        <v>411</v>
      </c>
      <c r="F178" s="28"/>
      <c r="G178" s="29"/>
      <c r="H178" s="29"/>
      <c r="I178" s="29"/>
      <c r="J178" s="34" t="s">
        <v>412</v>
      </c>
      <c r="K178" s="35"/>
      <c r="L178" s="8"/>
      <c r="M178" s="8"/>
      <c r="N178" s="8"/>
    </row>
    <row r="179" spans="1:14" ht="15.4" customHeight="1" thickBot="1" x14ac:dyDescent="0.25">
      <c r="A179" s="8"/>
      <c r="B179" s="8"/>
      <c r="C179" s="8"/>
      <c r="D179" s="26"/>
      <c r="E179" s="6"/>
      <c r="F179" s="4">
        <v>2</v>
      </c>
      <c r="G179" s="22">
        <v>1.7</v>
      </c>
      <c r="H179" s="22">
        <v>1.5</v>
      </c>
      <c r="I179" s="22"/>
      <c r="J179" s="30">
        <f>ROUND(F179*G179*H179,2)</f>
        <v>5.0999999999999996</v>
      </c>
      <c r="K179" s="8"/>
      <c r="L179" s="8"/>
      <c r="M179" s="8"/>
      <c r="N179" s="8"/>
    </row>
    <row r="180" spans="1:14" ht="15.4" customHeight="1" thickBot="1" x14ac:dyDescent="0.25">
      <c r="A180" s="8"/>
      <c r="B180" s="8"/>
      <c r="C180" s="8"/>
      <c r="D180" s="26"/>
      <c r="E180" s="6"/>
      <c r="F180" s="4">
        <v>2</v>
      </c>
      <c r="G180" s="22">
        <v>0.4</v>
      </c>
      <c r="H180" s="22">
        <v>1.5</v>
      </c>
      <c r="I180" s="22"/>
      <c r="J180" s="30">
        <f>ROUND(F180*G180*H180,2)</f>
        <v>1.2</v>
      </c>
      <c r="K180" s="8"/>
      <c r="L180" s="8"/>
      <c r="M180" s="8"/>
      <c r="N180" s="8"/>
    </row>
    <row r="181" spans="1:14" ht="15.4" customHeight="1" thickBot="1" x14ac:dyDescent="0.25">
      <c r="A181" s="8"/>
      <c r="B181" s="8"/>
      <c r="C181" s="8"/>
      <c r="D181" s="26"/>
      <c r="E181" s="6"/>
      <c r="F181" s="4">
        <v>2</v>
      </c>
      <c r="G181" s="22">
        <v>3</v>
      </c>
      <c r="H181" s="22">
        <v>1.5</v>
      </c>
      <c r="I181" s="22"/>
      <c r="J181" s="30">
        <f>ROUND(F181*G181*H181,2)</f>
        <v>9</v>
      </c>
      <c r="K181" s="8"/>
      <c r="L181" s="8"/>
      <c r="M181" s="8"/>
      <c r="N181" s="8"/>
    </row>
    <row r="182" spans="1:14" ht="15.4" customHeight="1" thickBot="1" x14ac:dyDescent="0.25">
      <c r="A182" s="8"/>
      <c r="B182" s="8"/>
      <c r="C182" s="8"/>
      <c r="D182" s="26"/>
      <c r="E182" s="6"/>
      <c r="F182" s="4">
        <v>3</v>
      </c>
      <c r="G182" s="22">
        <v>2.7</v>
      </c>
      <c r="H182" s="22">
        <v>1.5</v>
      </c>
      <c r="I182" s="22"/>
      <c r="J182" s="30">
        <f>ROUND(F182*G182*H182,2)</f>
        <v>12.15</v>
      </c>
      <c r="K182" s="32">
        <f>SUM(J178:J182)</f>
        <v>27.450000000000003</v>
      </c>
      <c r="L182" s="8"/>
      <c r="M182" s="8"/>
      <c r="N182" s="8"/>
    </row>
    <row r="183" spans="1:14" ht="15.4" customHeight="1" thickBot="1" x14ac:dyDescent="0.25">
      <c r="A183" s="12" t="s">
        <v>413</v>
      </c>
      <c r="B183" s="6" t="s">
        <v>414</v>
      </c>
      <c r="C183" s="6" t="s">
        <v>415</v>
      </c>
      <c r="D183" s="60" t="s">
        <v>416</v>
      </c>
      <c r="E183" s="60"/>
      <c r="F183" s="60"/>
      <c r="G183" s="60"/>
      <c r="H183" s="60"/>
      <c r="I183" s="60"/>
      <c r="J183" s="60"/>
      <c r="K183" s="22">
        <f>SUM(K186:K187)</f>
        <v>22.92</v>
      </c>
      <c r="L183" s="22">
        <f>ROUND(29.75*(1+M2/100),2)</f>
        <v>29.75</v>
      </c>
      <c r="M183" s="22">
        <f>ROUND(K183*L183,2)</f>
        <v>681.87</v>
      </c>
      <c r="N183" s="8"/>
    </row>
    <row r="184" spans="1:14" ht="12.2" customHeight="1" thickBot="1" x14ac:dyDescent="0.25">
      <c r="A184" s="8"/>
      <c r="B184" s="8"/>
      <c r="C184" s="8"/>
      <c r="D184" s="60" t="s">
        <v>417</v>
      </c>
      <c r="E184" s="60"/>
      <c r="F184" s="60"/>
      <c r="G184" s="60"/>
      <c r="H184" s="60"/>
      <c r="I184" s="60"/>
      <c r="J184" s="60"/>
      <c r="K184" s="60"/>
      <c r="L184" s="60"/>
      <c r="M184" s="60"/>
      <c r="N184" s="8"/>
    </row>
    <row r="185" spans="1:14" ht="15.4" customHeight="1" thickBot="1" x14ac:dyDescent="0.25">
      <c r="A185" s="8"/>
      <c r="B185" s="8"/>
      <c r="C185" s="8"/>
      <c r="D185" s="8"/>
      <c r="E185" s="23"/>
      <c r="F185" s="25" t="s">
        <v>418</v>
      </c>
      <c r="G185" s="25" t="s">
        <v>419</v>
      </c>
      <c r="H185" s="25" t="s">
        <v>420</v>
      </c>
      <c r="I185" s="25" t="s">
        <v>421</v>
      </c>
      <c r="J185" s="25" t="s">
        <v>422</v>
      </c>
      <c r="K185" s="25" t="s">
        <v>423</v>
      </c>
      <c r="L185" s="8"/>
      <c r="M185" s="8"/>
      <c r="N185" s="8"/>
    </row>
    <row r="186" spans="1:14" ht="15.4" customHeight="1" thickBot="1" x14ac:dyDescent="0.25">
      <c r="A186" s="8"/>
      <c r="B186" s="8"/>
      <c r="C186" s="8"/>
      <c r="D186" s="26"/>
      <c r="E186" s="27" t="s">
        <v>424</v>
      </c>
      <c r="F186" s="28">
        <v>2</v>
      </c>
      <c r="G186" s="29">
        <v>2.2000000000000002</v>
      </c>
      <c r="H186" s="29">
        <v>4</v>
      </c>
      <c r="I186" s="29"/>
      <c r="J186" s="31">
        <f>ROUND(F186*G186*H186,2)</f>
        <v>17.600000000000001</v>
      </c>
      <c r="K186" s="35"/>
      <c r="L186" s="8"/>
      <c r="M186" s="8"/>
      <c r="N186" s="8"/>
    </row>
    <row r="187" spans="1:14" ht="15.4" customHeight="1" thickBot="1" x14ac:dyDescent="0.25">
      <c r="A187" s="8"/>
      <c r="B187" s="8"/>
      <c r="C187" s="8"/>
      <c r="D187" s="26"/>
      <c r="E187" s="6"/>
      <c r="F187" s="4">
        <v>2</v>
      </c>
      <c r="G187" s="22">
        <v>0.95</v>
      </c>
      <c r="H187" s="22">
        <v>2.8</v>
      </c>
      <c r="I187" s="22"/>
      <c r="J187" s="30">
        <f>ROUND(F187*G187*H187,2)</f>
        <v>5.32</v>
      </c>
      <c r="K187" s="32">
        <f>SUM(J186:J187)</f>
        <v>22.92</v>
      </c>
      <c r="L187" s="8"/>
      <c r="M187" s="8"/>
      <c r="N187" s="8"/>
    </row>
    <row r="188" spans="1:14" ht="15.4" customHeight="1" thickBot="1" x14ac:dyDescent="0.25">
      <c r="A188" s="12" t="s">
        <v>425</v>
      </c>
      <c r="B188" s="6" t="s">
        <v>426</v>
      </c>
      <c r="C188" s="6" t="s">
        <v>427</v>
      </c>
      <c r="D188" s="60" t="s">
        <v>428</v>
      </c>
      <c r="E188" s="60"/>
      <c r="F188" s="60"/>
      <c r="G188" s="60"/>
      <c r="H188" s="60"/>
      <c r="I188" s="60"/>
      <c r="J188" s="60"/>
      <c r="K188" s="22">
        <f>SUM(K191:K192)</f>
        <v>1.25</v>
      </c>
      <c r="L188" s="22">
        <f>ROUND(53.54*(1+M2/100),2)</f>
        <v>53.54</v>
      </c>
      <c r="M188" s="22">
        <f>ROUND(K188*L188,2)</f>
        <v>66.930000000000007</v>
      </c>
      <c r="N188" s="8"/>
    </row>
    <row r="189" spans="1:14" ht="30.95" customHeight="1" thickBot="1" x14ac:dyDescent="0.25">
      <c r="A189" s="8"/>
      <c r="B189" s="8"/>
      <c r="C189" s="8"/>
      <c r="D189" s="60" t="s">
        <v>429</v>
      </c>
      <c r="E189" s="60"/>
      <c r="F189" s="60"/>
      <c r="G189" s="60"/>
      <c r="H189" s="60"/>
      <c r="I189" s="60"/>
      <c r="J189" s="60"/>
      <c r="K189" s="60"/>
      <c r="L189" s="60"/>
      <c r="M189" s="60"/>
      <c r="N189" s="8"/>
    </row>
    <row r="190" spans="1:14" ht="15.4" customHeight="1" thickBot="1" x14ac:dyDescent="0.25">
      <c r="A190" s="8"/>
      <c r="B190" s="8"/>
      <c r="C190" s="8"/>
      <c r="D190" s="8"/>
      <c r="E190" s="23"/>
      <c r="F190" s="25" t="s">
        <v>430</v>
      </c>
      <c r="G190" s="25" t="s">
        <v>431</v>
      </c>
      <c r="H190" s="25" t="s">
        <v>432</v>
      </c>
      <c r="I190" s="25" t="s">
        <v>433</v>
      </c>
      <c r="J190" s="25" t="s">
        <v>434</v>
      </c>
      <c r="K190" s="25" t="s">
        <v>435</v>
      </c>
      <c r="L190" s="8"/>
      <c r="M190" s="8"/>
      <c r="N190" s="8"/>
    </row>
    <row r="191" spans="1:14" ht="15.4" customHeight="1" thickBot="1" x14ac:dyDescent="0.25">
      <c r="A191" s="8"/>
      <c r="B191" s="8"/>
      <c r="C191" s="8"/>
      <c r="D191" s="26"/>
      <c r="E191" s="27" t="s">
        <v>436</v>
      </c>
      <c r="F191" s="28">
        <v>1</v>
      </c>
      <c r="G191" s="29">
        <v>10.5</v>
      </c>
      <c r="H191" s="29"/>
      <c r="I191" s="29">
        <v>0.1</v>
      </c>
      <c r="J191" s="31">
        <f>ROUND(F191*G191*I191,2)</f>
        <v>1.05</v>
      </c>
      <c r="K191" s="35"/>
      <c r="L191" s="8"/>
      <c r="M191" s="8"/>
      <c r="N191" s="8"/>
    </row>
    <row r="192" spans="1:14" ht="15.4" customHeight="1" thickBot="1" x14ac:dyDescent="0.25">
      <c r="A192" s="8"/>
      <c r="B192" s="8"/>
      <c r="C192" s="8"/>
      <c r="D192" s="26"/>
      <c r="E192" s="6" t="s">
        <v>437</v>
      </c>
      <c r="F192" s="4">
        <v>1</v>
      </c>
      <c r="G192" s="22">
        <v>2</v>
      </c>
      <c r="H192" s="22"/>
      <c r="I192" s="22">
        <v>0.1</v>
      </c>
      <c r="J192" s="30">
        <f>ROUND(F192*G192*I192,2)</f>
        <v>0.2</v>
      </c>
      <c r="K192" s="32">
        <f>SUM(J191:J192)</f>
        <v>1.25</v>
      </c>
      <c r="L192" s="8"/>
      <c r="M192" s="8"/>
      <c r="N192" s="8"/>
    </row>
    <row r="193" spans="1:14" ht="15.4" customHeight="1" thickBot="1" x14ac:dyDescent="0.25">
      <c r="A193" s="12" t="s">
        <v>438</v>
      </c>
      <c r="B193" s="6" t="s">
        <v>439</v>
      </c>
      <c r="C193" s="6" t="s">
        <v>440</v>
      </c>
      <c r="D193" s="60" t="s">
        <v>441</v>
      </c>
      <c r="E193" s="60"/>
      <c r="F193" s="60"/>
      <c r="G193" s="60"/>
      <c r="H193" s="60"/>
      <c r="I193" s="60"/>
      <c r="J193" s="60"/>
      <c r="K193" s="22">
        <f>SUM(K196:K196)</f>
        <v>8</v>
      </c>
      <c r="L193" s="22">
        <f>ROUND(35.7*(1+M2/100),2)</f>
        <v>35.700000000000003</v>
      </c>
      <c r="M193" s="22">
        <f>ROUND(K193*L193,2)</f>
        <v>285.60000000000002</v>
      </c>
      <c r="N193" s="8"/>
    </row>
    <row r="194" spans="1:14" ht="21.6" customHeight="1" thickBot="1" x14ac:dyDescent="0.25">
      <c r="A194" s="8"/>
      <c r="B194" s="8"/>
      <c r="C194" s="8"/>
      <c r="D194" s="60" t="s">
        <v>442</v>
      </c>
      <c r="E194" s="60"/>
      <c r="F194" s="60"/>
      <c r="G194" s="60"/>
      <c r="H194" s="60"/>
      <c r="I194" s="60"/>
      <c r="J194" s="60"/>
      <c r="K194" s="60"/>
      <c r="L194" s="60"/>
      <c r="M194" s="60"/>
      <c r="N194" s="8"/>
    </row>
    <row r="195" spans="1:14" ht="15.4" customHeight="1" thickBot="1" x14ac:dyDescent="0.25">
      <c r="A195" s="8"/>
      <c r="B195" s="8"/>
      <c r="C195" s="8"/>
      <c r="D195" s="8"/>
      <c r="E195" s="23"/>
      <c r="F195" s="25" t="s">
        <v>443</v>
      </c>
      <c r="G195" s="25" t="s">
        <v>444</v>
      </c>
      <c r="H195" s="25" t="s">
        <v>445</v>
      </c>
      <c r="I195" s="25" t="s">
        <v>446</v>
      </c>
      <c r="J195" s="25" t="s">
        <v>447</v>
      </c>
      <c r="K195" s="25" t="s">
        <v>448</v>
      </c>
      <c r="L195" s="8"/>
      <c r="M195" s="8"/>
      <c r="N195" s="8"/>
    </row>
    <row r="196" spans="1:14" ht="21.6" customHeight="1" thickBot="1" x14ac:dyDescent="0.25">
      <c r="A196" s="8"/>
      <c r="B196" s="8"/>
      <c r="C196" s="8"/>
      <c r="D196" s="26"/>
      <c r="E196" s="27" t="s">
        <v>449</v>
      </c>
      <c r="F196" s="28">
        <v>4</v>
      </c>
      <c r="G196" s="29">
        <v>2</v>
      </c>
      <c r="H196" s="29"/>
      <c r="I196" s="29"/>
      <c r="J196" s="31">
        <f>ROUND(F196*G196,2)</f>
        <v>8</v>
      </c>
      <c r="K196" s="33">
        <f>SUM(J196:J196)</f>
        <v>8</v>
      </c>
      <c r="L196" s="8"/>
      <c r="M196" s="8"/>
      <c r="N196" s="8"/>
    </row>
    <row r="197" spans="1:14" ht="15.4" customHeight="1" thickBot="1" x14ac:dyDescent="0.25">
      <c r="A197" s="12" t="s">
        <v>450</v>
      </c>
      <c r="B197" s="6" t="s">
        <v>451</v>
      </c>
      <c r="C197" s="6" t="s">
        <v>452</v>
      </c>
      <c r="D197" s="60" t="s">
        <v>453</v>
      </c>
      <c r="E197" s="60"/>
      <c r="F197" s="60"/>
      <c r="G197" s="60"/>
      <c r="H197" s="60"/>
      <c r="I197" s="60"/>
      <c r="J197" s="60"/>
      <c r="K197" s="22">
        <f>SUM(K200:K204)</f>
        <v>102</v>
      </c>
      <c r="L197" s="22">
        <f>ROUND(41.65*(1+M2/100),2)</f>
        <v>41.65</v>
      </c>
      <c r="M197" s="22">
        <f>ROUND(K197*L197,2)</f>
        <v>4248.3</v>
      </c>
      <c r="N197" s="8"/>
    </row>
    <row r="198" spans="1:14" ht="59.1" customHeight="1" thickBot="1" x14ac:dyDescent="0.25">
      <c r="A198" s="8"/>
      <c r="B198" s="8"/>
      <c r="C198" s="8"/>
      <c r="D198" s="60" t="s">
        <v>454</v>
      </c>
      <c r="E198" s="60"/>
      <c r="F198" s="60"/>
      <c r="G198" s="60"/>
      <c r="H198" s="60"/>
      <c r="I198" s="60"/>
      <c r="J198" s="60"/>
      <c r="K198" s="60"/>
      <c r="L198" s="60"/>
      <c r="M198" s="60"/>
      <c r="N198" s="8"/>
    </row>
    <row r="199" spans="1:14" ht="15.4" customHeight="1" thickBot="1" x14ac:dyDescent="0.25">
      <c r="A199" s="8"/>
      <c r="B199" s="8"/>
      <c r="C199" s="8"/>
      <c r="D199" s="8"/>
      <c r="E199" s="23"/>
      <c r="F199" s="25" t="s">
        <v>455</v>
      </c>
      <c r="G199" s="25" t="s">
        <v>456</v>
      </c>
      <c r="H199" s="25" t="s">
        <v>457</v>
      </c>
      <c r="I199" s="25" t="s">
        <v>458</v>
      </c>
      <c r="J199" s="25" t="s">
        <v>459</v>
      </c>
      <c r="K199" s="25" t="s">
        <v>460</v>
      </c>
      <c r="L199" s="8"/>
      <c r="M199" s="8"/>
      <c r="N199" s="8"/>
    </row>
    <row r="200" spans="1:14" ht="21.6" customHeight="1" thickBot="1" x14ac:dyDescent="0.25">
      <c r="A200" s="8"/>
      <c r="B200" s="8"/>
      <c r="C200" s="8"/>
      <c r="D200" s="26"/>
      <c r="E200" s="27" t="s">
        <v>461</v>
      </c>
      <c r="F200" s="28"/>
      <c r="G200" s="29"/>
      <c r="H200" s="29"/>
      <c r="I200" s="29"/>
      <c r="J200" s="34" t="s">
        <v>462</v>
      </c>
      <c r="K200" s="35"/>
      <c r="L200" s="8"/>
      <c r="M200" s="8"/>
      <c r="N200" s="8"/>
    </row>
    <row r="201" spans="1:14" ht="15.4" customHeight="1" thickBot="1" x14ac:dyDescent="0.25">
      <c r="A201" s="8"/>
      <c r="B201" s="8"/>
      <c r="C201" s="8"/>
      <c r="D201" s="26"/>
      <c r="E201" s="6" t="s">
        <v>463</v>
      </c>
      <c r="F201" s="4">
        <v>1</v>
      </c>
      <c r="G201" s="22">
        <v>30</v>
      </c>
      <c r="H201" s="22"/>
      <c r="I201" s="22"/>
      <c r="J201" s="30">
        <f>ROUND(F201*G201,2)</f>
        <v>30</v>
      </c>
      <c r="K201" s="8"/>
      <c r="L201" s="8"/>
      <c r="M201" s="8"/>
      <c r="N201" s="8"/>
    </row>
    <row r="202" spans="1:14" ht="15.4" customHeight="1" thickBot="1" x14ac:dyDescent="0.25">
      <c r="A202" s="8"/>
      <c r="B202" s="8"/>
      <c r="C202" s="8"/>
      <c r="D202" s="26"/>
      <c r="E202" s="6" t="s">
        <v>464</v>
      </c>
      <c r="F202" s="4">
        <v>1</v>
      </c>
      <c r="G202" s="22">
        <v>35</v>
      </c>
      <c r="H202" s="22"/>
      <c r="I202" s="22"/>
      <c r="J202" s="30">
        <f>ROUND(F202*G202,2)</f>
        <v>35</v>
      </c>
      <c r="K202" s="8"/>
      <c r="L202" s="8"/>
      <c r="M202" s="8"/>
      <c r="N202" s="8"/>
    </row>
    <row r="203" spans="1:14" ht="15.4" customHeight="1" thickBot="1" x14ac:dyDescent="0.25">
      <c r="A203" s="8"/>
      <c r="B203" s="8"/>
      <c r="C203" s="8"/>
      <c r="D203" s="26"/>
      <c r="E203" s="6" t="s">
        <v>465</v>
      </c>
      <c r="F203" s="4">
        <v>2</v>
      </c>
      <c r="G203" s="22">
        <v>10</v>
      </c>
      <c r="H203" s="22"/>
      <c r="I203" s="22"/>
      <c r="J203" s="30">
        <f>ROUND(F203*G203,2)</f>
        <v>20</v>
      </c>
      <c r="K203" s="8"/>
      <c r="L203" s="8"/>
      <c r="M203" s="8"/>
      <c r="N203" s="8"/>
    </row>
    <row r="204" spans="1:14" ht="21.6" customHeight="1" thickBot="1" x14ac:dyDescent="0.25">
      <c r="A204" s="8"/>
      <c r="B204" s="8"/>
      <c r="C204" s="8"/>
      <c r="D204" s="26"/>
      <c r="E204" s="6" t="s">
        <v>466</v>
      </c>
      <c r="F204" s="4">
        <v>2</v>
      </c>
      <c r="G204" s="22">
        <v>8.5</v>
      </c>
      <c r="H204" s="22"/>
      <c r="I204" s="22"/>
      <c r="J204" s="30">
        <f>ROUND(F204*G204,2)</f>
        <v>17</v>
      </c>
      <c r="K204" s="32">
        <f>SUM(J200:J204)</f>
        <v>102</v>
      </c>
      <c r="L204" s="8"/>
      <c r="M204" s="8"/>
      <c r="N204" s="8"/>
    </row>
    <row r="205" spans="1:14" ht="15.4" customHeight="1" thickBot="1" x14ac:dyDescent="0.25">
      <c r="A205" s="12" t="s">
        <v>467</v>
      </c>
      <c r="B205" s="6" t="s">
        <v>468</v>
      </c>
      <c r="C205" s="6" t="s">
        <v>469</v>
      </c>
      <c r="D205" s="60" t="s">
        <v>470</v>
      </c>
      <c r="E205" s="60"/>
      <c r="F205" s="60"/>
      <c r="G205" s="60"/>
      <c r="H205" s="60"/>
      <c r="I205" s="60"/>
      <c r="J205" s="60"/>
      <c r="K205" s="22">
        <f>SUM(K208:K210)</f>
        <v>9</v>
      </c>
      <c r="L205" s="22">
        <f>ROUND(65.46*(1+M2/100),2)</f>
        <v>65.459999999999994</v>
      </c>
      <c r="M205" s="22">
        <f>ROUND(K205*L205,2)</f>
        <v>589.14</v>
      </c>
      <c r="N205" s="8"/>
    </row>
    <row r="206" spans="1:14" ht="21.6" customHeight="1" thickBot="1" x14ac:dyDescent="0.25">
      <c r="A206" s="8"/>
      <c r="B206" s="8"/>
      <c r="C206" s="8"/>
      <c r="D206" s="60" t="s">
        <v>471</v>
      </c>
      <c r="E206" s="60"/>
      <c r="F206" s="60"/>
      <c r="G206" s="60"/>
      <c r="H206" s="60"/>
      <c r="I206" s="60"/>
      <c r="J206" s="60"/>
      <c r="K206" s="60"/>
      <c r="L206" s="60"/>
      <c r="M206" s="60"/>
      <c r="N206" s="8"/>
    </row>
    <row r="207" spans="1:14" ht="15.4" customHeight="1" thickBot="1" x14ac:dyDescent="0.25">
      <c r="A207" s="8"/>
      <c r="B207" s="8"/>
      <c r="C207" s="8"/>
      <c r="D207" s="8"/>
      <c r="E207" s="23"/>
      <c r="F207" s="25" t="s">
        <v>472</v>
      </c>
      <c r="G207" s="25" t="s">
        <v>473</v>
      </c>
      <c r="H207" s="25" t="s">
        <v>474</v>
      </c>
      <c r="I207" s="25" t="s">
        <v>475</v>
      </c>
      <c r="J207" s="25" t="s">
        <v>476</v>
      </c>
      <c r="K207" s="25" t="s">
        <v>477</v>
      </c>
      <c r="L207" s="8"/>
      <c r="M207" s="8"/>
      <c r="N207" s="8"/>
    </row>
    <row r="208" spans="1:14" ht="15.4" customHeight="1" thickBot="1" x14ac:dyDescent="0.25">
      <c r="A208" s="8"/>
      <c r="B208" s="8"/>
      <c r="C208" s="8"/>
      <c r="D208" s="26"/>
      <c r="E208" s="27" t="s">
        <v>478</v>
      </c>
      <c r="F208" s="28"/>
      <c r="G208" s="29"/>
      <c r="H208" s="29"/>
      <c r="I208" s="29"/>
      <c r="J208" s="34" t="s">
        <v>479</v>
      </c>
      <c r="K208" s="35"/>
      <c r="L208" s="8"/>
      <c r="M208" s="8"/>
      <c r="N208" s="8"/>
    </row>
    <row r="209" spans="1:14" ht="15.4" customHeight="1" thickBot="1" x14ac:dyDescent="0.25">
      <c r="A209" s="8"/>
      <c r="B209" s="8"/>
      <c r="C209" s="8"/>
      <c r="D209" s="26"/>
      <c r="E209" s="6" t="s">
        <v>480</v>
      </c>
      <c r="F209" s="4">
        <v>1</v>
      </c>
      <c r="G209" s="22">
        <v>6</v>
      </c>
      <c r="H209" s="22"/>
      <c r="I209" s="22"/>
      <c r="J209" s="30">
        <f>ROUND(F209*G209,2)</f>
        <v>6</v>
      </c>
      <c r="K209" s="8"/>
      <c r="L209" s="8"/>
      <c r="M209" s="8"/>
      <c r="N209" s="8"/>
    </row>
    <row r="210" spans="1:14" ht="15.4" customHeight="1" thickBot="1" x14ac:dyDescent="0.25">
      <c r="A210" s="8"/>
      <c r="B210" s="8"/>
      <c r="C210" s="8"/>
      <c r="D210" s="26"/>
      <c r="E210" s="6" t="s">
        <v>481</v>
      </c>
      <c r="F210" s="4">
        <v>1</v>
      </c>
      <c r="G210" s="22">
        <v>3</v>
      </c>
      <c r="H210" s="22"/>
      <c r="I210" s="22"/>
      <c r="J210" s="30">
        <f>ROUND(F210*G210,2)</f>
        <v>3</v>
      </c>
      <c r="K210" s="32">
        <f>SUM(J208:J210)</f>
        <v>9</v>
      </c>
      <c r="L210" s="8"/>
      <c r="M210" s="8"/>
      <c r="N210" s="8"/>
    </row>
    <row r="211" spans="1:14" ht="15.4" customHeight="1" thickBot="1" x14ac:dyDescent="0.25">
      <c r="A211" s="12" t="s">
        <v>482</v>
      </c>
      <c r="B211" s="6" t="s">
        <v>483</v>
      </c>
      <c r="C211" s="6" t="s">
        <v>484</v>
      </c>
      <c r="D211" s="60" t="s">
        <v>485</v>
      </c>
      <c r="E211" s="60"/>
      <c r="F211" s="60"/>
      <c r="G211" s="60"/>
      <c r="H211" s="60"/>
      <c r="I211" s="60"/>
      <c r="J211" s="60"/>
      <c r="K211" s="22">
        <f>SUM(K214:K214)</f>
        <v>1</v>
      </c>
      <c r="L211" s="22">
        <f>ROUND(119.04*(1+M2/100),2)</f>
        <v>119.04</v>
      </c>
      <c r="M211" s="22">
        <f>ROUND(K211*L211,2)</f>
        <v>119.04</v>
      </c>
      <c r="N211" s="8"/>
    </row>
    <row r="212" spans="1:14" ht="12.2" customHeight="1" thickBot="1" x14ac:dyDescent="0.25">
      <c r="A212" s="8"/>
      <c r="B212" s="8"/>
      <c r="C212" s="8"/>
      <c r="D212" s="60" t="s">
        <v>486</v>
      </c>
      <c r="E212" s="60"/>
      <c r="F212" s="60"/>
      <c r="G212" s="60"/>
      <c r="H212" s="60"/>
      <c r="I212" s="60"/>
      <c r="J212" s="60"/>
      <c r="K212" s="60"/>
      <c r="L212" s="60"/>
      <c r="M212" s="60"/>
      <c r="N212" s="8"/>
    </row>
    <row r="213" spans="1:14" ht="15.4" customHeight="1" thickBot="1" x14ac:dyDescent="0.25">
      <c r="A213" s="8"/>
      <c r="B213" s="8"/>
      <c r="C213" s="8"/>
      <c r="D213" s="8"/>
      <c r="E213" s="23"/>
      <c r="F213" s="25" t="s">
        <v>487</v>
      </c>
      <c r="G213" s="25" t="s">
        <v>488</v>
      </c>
      <c r="H213" s="25" t="s">
        <v>489</v>
      </c>
      <c r="I213" s="25" t="s">
        <v>490</v>
      </c>
      <c r="J213" s="25" t="s">
        <v>491</v>
      </c>
      <c r="K213" s="25" t="s">
        <v>492</v>
      </c>
      <c r="L213" s="8"/>
      <c r="M213" s="8"/>
      <c r="N213" s="8"/>
    </row>
    <row r="214" spans="1:14" ht="15.4" customHeight="1" thickBot="1" x14ac:dyDescent="0.25">
      <c r="A214" s="8"/>
      <c r="B214" s="8"/>
      <c r="C214" s="8"/>
      <c r="D214" s="26"/>
      <c r="E214" s="27"/>
      <c r="F214" s="28">
        <v>1</v>
      </c>
      <c r="G214" s="29"/>
      <c r="H214" s="29"/>
      <c r="I214" s="29"/>
      <c r="J214" s="31">
        <f>ROUND(F214,2)</f>
        <v>1</v>
      </c>
      <c r="K214" s="33">
        <f>SUM(J214:J214)</f>
        <v>1</v>
      </c>
      <c r="L214" s="8"/>
      <c r="M214" s="8"/>
      <c r="N214" s="8"/>
    </row>
    <row r="215" spans="1:14" ht="15.4" customHeight="1" thickBot="1" x14ac:dyDescent="0.25">
      <c r="A215" s="12" t="s">
        <v>493</v>
      </c>
      <c r="B215" s="6" t="s">
        <v>494</v>
      </c>
      <c r="C215" s="6" t="s">
        <v>495</v>
      </c>
      <c r="D215" s="60" t="s">
        <v>496</v>
      </c>
      <c r="E215" s="60"/>
      <c r="F215" s="60"/>
      <c r="G215" s="60"/>
      <c r="H215" s="60"/>
      <c r="I215" s="60"/>
      <c r="J215" s="60"/>
      <c r="K215" s="22">
        <f>SUM(K218:K218)</f>
        <v>1</v>
      </c>
      <c r="L215" s="22">
        <f>ROUND(178.49*(1+M2/100),2)</f>
        <v>178.49</v>
      </c>
      <c r="M215" s="22">
        <f>ROUND(K215*L215,2)</f>
        <v>178.49</v>
      </c>
      <c r="N215" s="8"/>
    </row>
    <row r="216" spans="1:14" ht="21.6" customHeight="1" thickBot="1" x14ac:dyDescent="0.25">
      <c r="A216" s="8"/>
      <c r="B216" s="8"/>
      <c r="C216" s="8"/>
      <c r="D216" s="60" t="s">
        <v>497</v>
      </c>
      <c r="E216" s="60"/>
      <c r="F216" s="60"/>
      <c r="G216" s="60"/>
      <c r="H216" s="60"/>
      <c r="I216" s="60"/>
      <c r="J216" s="60"/>
      <c r="K216" s="60"/>
      <c r="L216" s="60"/>
      <c r="M216" s="60"/>
      <c r="N216" s="8"/>
    </row>
    <row r="217" spans="1:14" ht="15.4" customHeight="1" thickBot="1" x14ac:dyDescent="0.25">
      <c r="A217" s="8"/>
      <c r="B217" s="8"/>
      <c r="C217" s="8"/>
      <c r="D217" s="8"/>
      <c r="E217" s="23"/>
      <c r="F217" s="25" t="s">
        <v>498</v>
      </c>
      <c r="G217" s="25" t="s">
        <v>499</v>
      </c>
      <c r="H217" s="25" t="s">
        <v>500</v>
      </c>
      <c r="I217" s="25" t="s">
        <v>501</v>
      </c>
      <c r="J217" s="25" t="s">
        <v>502</v>
      </c>
      <c r="K217" s="25" t="s">
        <v>503</v>
      </c>
      <c r="L217" s="8"/>
      <c r="M217" s="8"/>
      <c r="N217" s="8"/>
    </row>
    <row r="218" spans="1:14" ht="15.4" customHeight="1" thickBot="1" x14ac:dyDescent="0.25">
      <c r="A218" s="8"/>
      <c r="B218" s="8"/>
      <c r="C218" s="8"/>
      <c r="D218" s="26"/>
      <c r="E218" s="27"/>
      <c r="F218" s="28">
        <v>1</v>
      </c>
      <c r="G218" s="29"/>
      <c r="H218" s="29"/>
      <c r="I218" s="29"/>
      <c r="J218" s="31">
        <f>ROUND(F218,2)</f>
        <v>1</v>
      </c>
      <c r="K218" s="33">
        <f>SUM(J218:J218)</f>
        <v>1</v>
      </c>
      <c r="L218" s="8"/>
      <c r="M218" s="8"/>
      <c r="N218" s="8"/>
    </row>
    <row r="219" spans="1:14" ht="15.4" customHeight="1" thickBot="1" x14ac:dyDescent="0.25">
      <c r="A219" s="12" t="s">
        <v>504</v>
      </c>
      <c r="B219" s="6" t="s">
        <v>505</v>
      </c>
      <c r="C219" s="6" t="s">
        <v>506</v>
      </c>
      <c r="D219" s="60" t="s">
        <v>507</v>
      </c>
      <c r="E219" s="60"/>
      <c r="F219" s="60"/>
      <c r="G219" s="60"/>
      <c r="H219" s="60"/>
      <c r="I219" s="60"/>
      <c r="J219" s="60"/>
      <c r="K219" s="22">
        <f>SUM(K222:K222)</f>
        <v>1</v>
      </c>
      <c r="L219" s="22">
        <f>ROUND(178.49*(1+M2/100),2)</f>
        <v>178.49</v>
      </c>
      <c r="M219" s="22">
        <f>ROUND(K219*L219,2)</f>
        <v>178.49</v>
      </c>
      <c r="N219" s="8"/>
    </row>
    <row r="220" spans="1:14" ht="12.2" customHeight="1" thickBot="1" x14ac:dyDescent="0.25">
      <c r="A220" s="8"/>
      <c r="B220" s="8"/>
      <c r="C220" s="8"/>
      <c r="D220" s="60" t="s">
        <v>508</v>
      </c>
      <c r="E220" s="60"/>
      <c r="F220" s="60"/>
      <c r="G220" s="60"/>
      <c r="H220" s="60"/>
      <c r="I220" s="60"/>
      <c r="J220" s="60"/>
      <c r="K220" s="60"/>
      <c r="L220" s="60"/>
      <c r="M220" s="60"/>
      <c r="N220" s="8"/>
    </row>
    <row r="221" spans="1:14" ht="15.4" customHeight="1" thickBot="1" x14ac:dyDescent="0.25">
      <c r="A221" s="8"/>
      <c r="B221" s="8"/>
      <c r="C221" s="8"/>
      <c r="D221" s="8"/>
      <c r="E221" s="23"/>
      <c r="F221" s="25" t="s">
        <v>509</v>
      </c>
      <c r="G221" s="25" t="s">
        <v>510</v>
      </c>
      <c r="H221" s="25" t="s">
        <v>511</v>
      </c>
      <c r="I221" s="25" t="s">
        <v>512</v>
      </c>
      <c r="J221" s="25" t="s">
        <v>513</v>
      </c>
      <c r="K221" s="25" t="s">
        <v>514</v>
      </c>
      <c r="L221" s="8"/>
      <c r="M221" s="8"/>
      <c r="N221" s="8"/>
    </row>
    <row r="222" spans="1:14" ht="15.4" customHeight="1" thickBot="1" x14ac:dyDescent="0.25">
      <c r="A222" s="8"/>
      <c r="B222" s="8"/>
      <c r="C222" s="8"/>
      <c r="D222" s="26"/>
      <c r="E222" s="27"/>
      <c r="F222" s="28">
        <v>1</v>
      </c>
      <c r="G222" s="29"/>
      <c r="H222" s="29"/>
      <c r="I222" s="29"/>
      <c r="J222" s="31">
        <f>ROUND(F222,2)</f>
        <v>1</v>
      </c>
      <c r="K222" s="33">
        <f>SUM(J222:J222)</f>
        <v>1</v>
      </c>
      <c r="L222" s="8"/>
      <c r="M222" s="8"/>
      <c r="N222" s="8"/>
    </row>
    <row r="223" spans="1:14" ht="15.4" customHeight="1" thickBot="1" x14ac:dyDescent="0.25">
      <c r="A223" s="12" t="s">
        <v>515</v>
      </c>
      <c r="B223" s="6" t="s">
        <v>516</v>
      </c>
      <c r="C223" s="6" t="s">
        <v>517</v>
      </c>
      <c r="D223" s="60" t="s">
        <v>518</v>
      </c>
      <c r="E223" s="60"/>
      <c r="F223" s="60"/>
      <c r="G223" s="60"/>
      <c r="H223" s="60"/>
      <c r="I223" s="60"/>
      <c r="J223" s="60"/>
      <c r="K223" s="22">
        <f>SUM(K226:K226)</f>
        <v>1</v>
      </c>
      <c r="L223" s="22">
        <f>ROUND(1784.88*(1+M2/100),2)</f>
        <v>1784.88</v>
      </c>
      <c r="M223" s="22">
        <f>ROUND(K223*L223,2)</f>
        <v>1784.88</v>
      </c>
      <c r="N223" s="8"/>
    </row>
    <row r="224" spans="1:14" ht="30.95" customHeight="1" thickBot="1" x14ac:dyDescent="0.25">
      <c r="A224" s="8"/>
      <c r="B224" s="8"/>
      <c r="C224" s="8"/>
      <c r="D224" s="60" t="s">
        <v>519</v>
      </c>
      <c r="E224" s="60"/>
      <c r="F224" s="60"/>
      <c r="G224" s="60"/>
      <c r="H224" s="60"/>
      <c r="I224" s="60"/>
      <c r="J224" s="60"/>
      <c r="K224" s="60"/>
      <c r="L224" s="60"/>
      <c r="M224" s="60"/>
      <c r="N224" s="8"/>
    </row>
    <row r="225" spans="1:14" ht="15.4" customHeight="1" thickBot="1" x14ac:dyDescent="0.25">
      <c r="A225" s="8"/>
      <c r="B225" s="8"/>
      <c r="C225" s="8"/>
      <c r="D225" s="8"/>
      <c r="E225" s="23"/>
      <c r="F225" s="25" t="s">
        <v>520</v>
      </c>
      <c r="G225" s="25" t="s">
        <v>521</v>
      </c>
      <c r="H225" s="25" t="s">
        <v>522</v>
      </c>
      <c r="I225" s="25" t="s">
        <v>523</v>
      </c>
      <c r="J225" s="25" t="s">
        <v>524</v>
      </c>
      <c r="K225" s="25" t="s">
        <v>525</v>
      </c>
      <c r="L225" s="8"/>
      <c r="M225" s="8"/>
      <c r="N225" s="8"/>
    </row>
    <row r="226" spans="1:14" ht="15.4" customHeight="1" thickBot="1" x14ac:dyDescent="0.25">
      <c r="A226" s="8"/>
      <c r="B226" s="8"/>
      <c r="C226" s="8"/>
      <c r="D226" s="26"/>
      <c r="E226" s="27"/>
      <c r="F226" s="28">
        <v>1</v>
      </c>
      <c r="G226" s="29"/>
      <c r="H226" s="29"/>
      <c r="I226" s="29"/>
      <c r="J226" s="31">
        <f>ROUND(F226,2)</f>
        <v>1</v>
      </c>
      <c r="K226" s="33">
        <f>SUM(J226:J226)</f>
        <v>1</v>
      </c>
      <c r="L226" s="8"/>
      <c r="M226" s="8"/>
      <c r="N226" s="8"/>
    </row>
    <row r="227" spans="1:14" ht="15.4" customHeight="1" thickBot="1" x14ac:dyDescent="0.25">
      <c r="A227" s="12" t="s">
        <v>526</v>
      </c>
      <c r="B227" s="6" t="s">
        <v>527</v>
      </c>
      <c r="C227" s="6" t="s">
        <v>528</v>
      </c>
      <c r="D227" s="60" t="s">
        <v>529</v>
      </c>
      <c r="E227" s="60"/>
      <c r="F227" s="60"/>
      <c r="G227" s="60"/>
      <c r="H227" s="60"/>
      <c r="I227" s="60"/>
      <c r="J227" s="60"/>
      <c r="K227" s="22">
        <f>SUM(K230:K230)</f>
        <v>1</v>
      </c>
      <c r="L227" s="22">
        <f>ROUND(178.49*(1+M2/100),2)</f>
        <v>178.49</v>
      </c>
      <c r="M227" s="22">
        <f>ROUND(K227*L227,2)</f>
        <v>178.49</v>
      </c>
      <c r="N227" s="8"/>
    </row>
    <row r="228" spans="1:14" ht="12.2" customHeight="1" thickBot="1" x14ac:dyDescent="0.25">
      <c r="A228" s="8"/>
      <c r="B228" s="8"/>
      <c r="C228" s="8"/>
      <c r="D228" s="60" t="s">
        <v>530</v>
      </c>
      <c r="E228" s="60"/>
      <c r="F228" s="60"/>
      <c r="G228" s="60"/>
      <c r="H228" s="60"/>
      <c r="I228" s="60"/>
      <c r="J228" s="60"/>
      <c r="K228" s="60"/>
      <c r="L228" s="60"/>
      <c r="M228" s="60"/>
      <c r="N228" s="8"/>
    </row>
    <row r="229" spans="1:14" ht="15.4" customHeight="1" thickBot="1" x14ac:dyDescent="0.25">
      <c r="A229" s="8"/>
      <c r="B229" s="8"/>
      <c r="C229" s="8"/>
      <c r="D229" s="8"/>
      <c r="E229" s="23"/>
      <c r="F229" s="25" t="s">
        <v>531</v>
      </c>
      <c r="G229" s="25" t="s">
        <v>532</v>
      </c>
      <c r="H229" s="25" t="s">
        <v>533</v>
      </c>
      <c r="I229" s="25" t="s">
        <v>534</v>
      </c>
      <c r="J229" s="25" t="s">
        <v>535</v>
      </c>
      <c r="K229" s="25" t="s">
        <v>536</v>
      </c>
      <c r="L229" s="8"/>
      <c r="M229" s="8"/>
      <c r="N229" s="8"/>
    </row>
    <row r="230" spans="1:14" ht="15.4" customHeight="1" thickBot="1" x14ac:dyDescent="0.25">
      <c r="A230" s="8"/>
      <c r="B230" s="8"/>
      <c r="C230" s="8"/>
      <c r="D230" s="26"/>
      <c r="E230" s="27"/>
      <c r="F230" s="28">
        <v>1</v>
      </c>
      <c r="G230" s="29"/>
      <c r="H230" s="29"/>
      <c r="I230" s="29"/>
      <c r="J230" s="31">
        <f>ROUND(F230,2)</f>
        <v>1</v>
      </c>
      <c r="K230" s="33">
        <f>SUM(J230:J230)</f>
        <v>1</v>
      </c>
      <c r="L230" s="8"/>
      <c r="M230" s="8"/>
      <c r="N230" s="8"/>
    </row>
    <row r="231" spans="1:14" ht="15.4" customHeight="1" thickBot="1" x14ac:dyDescent="0.25">
      <c r="A231" s="12" t="s">
        <v>537</v>
      </c>
      <c r="B231" s="6" t="s">
        <v>538</v>
      </c>
      <c r="C231" s="6" t="s">
        <v>539</v>
      </c>
      <c r="D231" s="60" t="s">
        <v>540</v>
      </c>
      <c r="E231" s="60"/>
      <c r="F231" s="60"/>
      <c r="G231" s="60"/>
      <c r="H231" s="60"/>
      <c r="I231" s="60"/>
      <c r="J231" s="60"/>
      <c r="K231" s="22">
        <f>SUM(K234:K234)</f>
        <v>2</v>
      </c>
      <c r="L231" s="22">
        <f>ROUND(59.5*(1+M2/100),2)</f>
        <v>59.5</v>
      </c>
      <c r="M231" s="22">
        <f>ROUND(K231*L231,2)</f>
        <v>119</v>
      </c>
      <c r="N231" s="8"/>
    </row>
    <row r="232" spans="1:14" ht="21.6" customHeight="1" thickBot="1" x14ac:dyDescent="0.25">
      <c r="A232" s="8"/>
      <c r="B232" s="8"/>
      <c r="C232" s="8"/>
      <c r="D232" s="60" t="s">
        <v>541</v>
      </c>
      <c r="E232" s="60"/>
      <c r="F232" s="60"/>
      <c r="G232" s="60"/>
      <c r="H232" s="60"/>
      <c r="I232" s="60"/>
      <c r="J232" s="60"/>
      <c r="K232" s="60"/>
      <c r="L232" s="60"/>
      <c r="M232" s="60"/>
      <c r="N232" s="8"/>
    </row>
    <row r="233" spans="1:14" ht="15.4" customHeight="1" thickBot="1" x14ac:dyDescent="0.25">
      <c r="A233" s="8"/>
      <c r="B233" s="8"/>
      <c r="C233" s="8"/>
      <c r="D233" s="8"/>
      <c r="E233" s="23"/>
      <c r="F233" s="25" t="s">
        <v>542</v>
      </c>
      <c r="G233" s="25" t="s">
        <v>543</v>
      </c>
      <c r="H233" s="25" t="s">
        <v>544</v>
      </c>
      <c r="I233" s="25" t="s">
        <v>545</v>
      </c>
      <c r="J233" s="25" t="s">
        <v>546</v>
      </c>
      <c r="K233" s="25" t="s">
        <v>547</v>
      </c>
      <c r="L233" s="8"/>
      <c r="M233" s="8"/>
      <c r="N233" s="8"/>
    </row>
    <row r="234" spans="1:14" ht="15.4" customHeight="1" thickBot="1" x14ac:dyDescent="0.25">
      <c r="A234" s="8"/>
      <c r="B234" s="8"/>
      <c r="C234" s="8"/>
      <c r="D234" s="26"/>
      <c r="E234" s="27" t="s">
        <v>548</v>
      </c>
      <c r="F234" s="28">
        <v>2</v>
      </c>
      <c r="G234" s="29"/>
      <c r="H234" s="29"/>
      <c r="I234" s="29"/>
      <c r="J234" s="31">
        <f>ROUND(F234,2)</f>
        <v>2</v>
      </c>
      <c r="K234" s="33">
        <f>SUM(J234:J234)</f>
        <v>2</v>
      </c>
      <c r="L234" s="8"/>
      <c r="M234" s="8"/>
      <c r="N234" s="8"/>
    </row>
    <row r="235" spans="1:14" ht="15.4" customHeight="1" thickBot="1" x14ac:dyDescent="0.25">
      <c r="A235" s="12" t="s">
        <v>549</v>
      </c>
      <c r="B235" s="6" t="s">
        <v>550</v>
      </c>
      <c r="C235" s="6" t="s">
        <v>551</v>
      </c>
      <c r="D235" s="60" t="s">
        <v>552</v>
      </c>
      <c r="E235" s="60"/>
      <c r="F235" s="60"/>
      <c r="G235" s="60"/>
      <c r="H235" s="60"/>
      <c r="I235" s="60"/>
      <c r="J235" s="60"/>
      <c r="K235" s="22">
        <f>SUM(K238:K238)</f>
        <v>970</v>
      </c>
      <c r="L235" s="22">
        <f>ROUND(26.77*(1+M2/100),2)</f>
        <v>26.77</v>
      </c>
      <c r="M235" s="22">
        <f>ROUND(K235*L235,2)</f>
        <v>25966.9</v>
      </c>
      <c r="N235" s="8"/>
    </row>
    <row r="236" spans="1:14" ht="68.45" customHeight="1" thickBot="1" x14ac:dyDescent="0.25">
      <c r="A236" s="8"/>
      <c r="B236" s="8"/>
      <c r="C236" s="8"/>
      <c r="D236" s="60" t="s">
        <v>553</v>
      </c>
      <c r="E236" s="60"/>
      <c r="F236" s="60"/>
      <c r="G236" s="60"/>
      <c r="H236" s="60"/>
      <c r="I236" s="60"/>
      <c r="J236" s="60"/>
      <c r="K236" s="60"/>
      <c r="L236" s="60"/>
      <c r="M236" s="60"/>
      <c r="N236" s="8"/>
    </row>
    <row r="237" spans="1:14" ht="15.4" customHeight="1" thickBot="1" x14ac:dyDescent="0.25">
      <c r="A237" s="8"/>
      <c r="B237" s="8"/>
      <c r="C237" s="8"/>
      <c r="D237" s="8"/>
      <c r="E237" s="23"/>
      <c r="F237" s="25" t="s">
        <v>554</v>
      </c>
      <c r="G237" s="25" t="s">
        <v>555</v>
      </c>
      <c r="H237" s="25" t="s">
        <v>556</v>
      </c>
      <c r="I237" s="25" t="s">
        <v>557</v>
      </c>
      <c r="J237" s="25" t="s">
        <v>558</v>
      </c>
      <c r="K237" s="25" t="s">
        <v>559</v>
      </c>
      <c r="L237" s="8"/>
      <c r="M237" s="8"/>
      <c r="N237" s="8"/>
    </row>
    <row r="238" spans="1:14" ht="21.6" customHeight="1" thickBot="1" x14ac:dyDescent="0.25">
      <c r="A238" s="8"/>
      <c r="B238" s="8"/>
      <c r="C238" s="8"/>
      <c r="D238" s="26"/>
      <c r="E238" s="27" t="s">
        <v>560</v>
      </c>
      <c r="F238" s="28">
        <v>1</v>
      </c>
      <c r="G238" s="29">
        <v>970</v>
      </c>
      <c r="H238" s="29"/>
      <c r="I238" s="29"/>
      <c r="J238" s="31">
        <f>ROUND(F238*G238,2)</f>
        <v>970</v>
      </c>
      <c r="K238" s="33">
        <f>SUM(J238:J238)</f>
        <v>970</v>
      </c>
      <c r="L238" s="8"/>
      <c r="M238" s="8"/>
      <c r="N238" s="8"/>
    </row>
    <row r="239" spans="1:14" ht="15.4" customHeight="1" thickBot="1" x14ac:dyDescent="0.25">
      <c r="A239" s="12" t="s">
        <v>561</v>
      </c>
      <c r="B239" s="6" t="s">
        <v>562</v>
      </c>
      <c r="C239" s="6" t="s">
        <v>563</v>
      </c>
      <c r="D239" s="60" t="s">
        <v>564</v>
      </c>
      <c r="E239" s="60"/>
      <c r="F239" s="60"/>
      <c r="G239" s="60"/>
      <c r="H239" s="60"/>
      <c r="I239" s="60"/>
      <c r="J239" s="60"/>
      <c r="K239" s="22">
        <f>SUM(K242:K242)</f>
        <v>3</v>
      </c>
      <c r="L239" s="22">
        <f>ROUND(29.79*(1+M2/100),2)</f>
        <v>29.79</v>
      </c>
      <c r="M239" s="22">
        <f>ROUND(K239*L239,2)</f>
        <v>89.37</v>
      </c>
      <c r="N239" s="8"/>
    </row>
    <row r="240" spans="1:14" ht="12.2" customHeight="1" thickBot="1" x14ac:dyDescent="0.25">
      <c r="A240" s="8"/>
      <c r="B240" s="8"/>
      <c r="C240" s="8"/>
      <c r="D240" s="60" t="s">
        <v>565</v>
      </c>
      <c r="E240" s="60"/>
      <c r="F240" s="60"/>
      <c r="G240" s="60"/>
      <c r="H240" s="60"/>
      <c r="I240" s="60"/>
      <c r="J240" s="60"/>
      <c r="K240" s="60"/>
      <c r="L240" s="60"/>
      <c r="M240" s="60"/>
      <c r="N240" s="8"/>
    </row>
    <row r="241" spans="1:14" ht="15.4" customHeight="1" thickBot="1" x14ac:dyDescent="0.25">
      <c r="A241" s="8"/>
      <c r="B241" s="8"/>
      <c r="C241" s="8"/>
      <c r="D241" s="8"/>
      <c r="E241" s="23"/>
      <c r="F241" s="25" t="s">
        <v>566</v>
      </c>
      <c r="G241" s="25" t="s">
        <v>567</v>
      </c>
      <c r="H241" s="25" t="s">
        <v>568</v>
      </c>
      <c r="I241" s="25" t="s">
        <v>569</v>
      </c>
      <c r="J241" s="25" t="s">
        <v>570</v>
      </c>
      <c r="K241" s="25" t="s">
        <v>571</v>
      </c>
      <c r="L241" s="8"/>
      <c r="M241" s="8"/>
      <c r="N241" s="8"/>
    </row>
    <row r="242" spans="1:14" ht="30.95" customHeight="1" thickBot="1" x14ac:dyDescent="0.25">
      <c r="A242" s="8"/>
      <c r="B242" s="8"/>
      <c r="C242" s="8"/>
      <c r="D242" s="26"/>
      <c r="E242" s="27" t="s">
        <v>572</v>
      </c>
      <c r="F242" s="28">
        <v>3</v>
      </c>
      <c r="G242" s="29"/>
      <c r="H242" s="29"/>
      <c r="I242" s="29"/>
      <c r="J242" s="31">
        <f>ROUND(F242,2)</f>
        <v>3</v>
      </c>
      <c r="K242" s="33">
        <f>SUM(J242:J242)</f>
        <v>3</v>
      </c>
      <c r="L242" s="8"/>
      <c r="M242" s="8"/>
      <c r="N242" s="8"/>
    </row>
    <row r="243" spans="1:14" ht="15.4" customHeight="1" thickBot="1" x14ac:dyDescent="0.25">
      <c r="A243" s="12" t="s">
        <v>573</v>
      </c>
      <c r="B243" s="6" t="s">
        <v>574</v>
      </c>
      <c r="C243" s="6" t="s">
        <v>575</v>
      </c>
      <c r="D243" s="60" t="s">
        <v>576</v>
      </c>
      <c r="E243" s="60"/>
      <c r="F243" s="60"/>
      <c r="G243" s="60"/>
      <c r="H243" s="60"/>
      <c r="I243" s="60"/>
      <c r="J243" s="60"/>
      <c r="K243" s="22">
        <f>SUM(K246:K246)</f>
        <v>17.600000000000001</v>
      </c>
      <c r="L243" s="22">
        <f>ROUND(17.86*(1+M2/100),2)</f>
        <v>17.86</v>
      </c>
      <c r="M243" s="22">
        <f>ROUND(K243*L243,2)</f>
        <v>314.33999999999997</v>
      </c>
      <c r="N243" s="8"/>
    </row>
    <row r="244" spans="1:14" ht="68.45" customHeight="1" thickBot="1" x14ac:dyDescent="0.25">
      <c r="A244" s="8"/>
      <c r="B244" s="8"/>
      <c r="C244" s="8"/>
      <c r="D244" s="60" t="s">
        <v>577</v>
      </c>
      <c r="E244" s="60"/>
      <c r="F244" s="60"/>
      <c r="G244" s="60"/>
      <c r="H244" s="60"/>
      <c r="I244" s="60"/>
      <c r="J244" s="60"/>
      <c r="K244" s="60"/>
      <c r="L244" s="60"/>
      <c r="M244" s="60"/>
      <c r="N244" s="8"/>
    </row>
    <row r="245" spans="1:14" ht="15.4" customHeight="1" thickBot="1" x14ac:dyDescent="0.25">
      <c r="A245" s="8"/>
      <c r="B245" s="8"/>
      <c r="C245" s="8"/>
      <c r="D245" s="8"/>
      <c r="E245" s="23"/>
      <c r="F245" s="25" t="s">
        <v>578</v>
      </c>
      <c r="G245" s="25" t="s">
        <v>579</v>
      </c>
      <c r="H245" s="25" t="s">
        <v>580</v>
      </c>
      <c r="I245" s="25" t="s">
        <v>581</v>
      </c>
      <c r="J245" s="25" t="s">
        <v>582</v>
      </c>
      <c r="K245" s="25" t="s">
        <v>583</v>
      </c>
      <c r="L245" s="8"/>
      <c r="M245" s="8"/>
      <c r="N245" s="8"/>
    </row>
    <row r="246" spans="1:14" ht="15.4" customHeight="1" thickBot="1" x14ac:dyDescent="0.25">
      <c r="A246" s="8"/>
      <c r="B246" s="8"/>
      <c r="C246" s="8"/>
      <c r="D246" s="26"/>
      <c r="E246" s="27" t="s">
        <v>584</v>
      </c>
      <c r="F246" s="28">
        <v>2</v>
      </c>
      <c r="G246" s="29">
        <v>8.8000000000000007</v>
      </c>
      <c r="H246" s="29"/>
      <c r="I246" s="29"/>
      <c r="J246" s="31">
        <f>ROUND(F246*G246,2)</f>
        <v>17.600000000000001</v>
      </c>
      <c r="K246" s="33">
        <f>SUM(J246:J246)</f>
        <v>17.600000000000001</v>
      </c>
      <c r="L246" s="8"/>
      <c r="M246" s="8"/>
      <c r="N246" s="8"/>
    </row>
    <row r="247" spans="1:14" ht="15.4" customHeight="1" thickBot="1" x14ac:dyDescent="0.25">
      <c r="A247" s="12" t="s">
        <v>585</v>
      </c>
      <c r="B247" s="6" t="s">
        <v>586</v>
      </c>
      <c r="C247" s="6" t="s">
        <v>587</v>
      </c>
      <c r="D247" s="60" t="s">
        <v>588</v>
      </c>
      <c r="E247" s="60"/>
      <c r="F247" s="60"/>
      <c r="G247" s="60"/>
      <c r="H247" s="60"/>
      <c r="I247" s="60"/>
      <c r="J247" s="60"/>
      <c r="K247" s="22">
        <f>SUM(K250:K250)</f>
        <v>17.600000000000001</v>
      </c>
      <c r="L247" s="22">
        <f>ROUND(23.82*(1+M2/100),2)</f>
        <v>23.82</v>
      </c>
      <c r="M247" s="22">
        <f>ROUND(K247*L247,2)</f>
        <v>419.23</v>
      </c>
      <c r="N247" s="8"/>
    </row>
    <row r="248" spans="1:14" ht="12.2" customHeight="1" thickBot="1" x14ac:dyDescent="0.25">
      <c r="A248" s="8"/>
      <c r="B248" s="8"/>
      <c r="C248" s="8"/>
      <c r="D248" s="60" t="s">
        <v>589</v>
      </c>
      <c r="E248" s="60"/>
      <c r="F248" s="60"/>
      <c r="G248" s="60"/>
      <c r="H248" s="60"/>
      <c r="I248" s="60"/>
      <c r="J248" s="60"/>
      <c r="K248" s="60"/>
      <c r="L248" s="60"/>
      <c r="M248" s="60"/>
      <c r="N248" s="8"/>
    </row>
    <row r="249" spans="1:14" ht="15.4" customHeight="1" thickBot="1" x14ac:dyDescent="0.25">
      <c r="A249" s="8"/>
      <c r="B249" s="8"/>
      <c r="C249" s="8"/>
      <c r="D249" s="8"/>
      <c r="E249" s="23"/>
      <c r="F249" s="25" t="s">
        <v>590</v>
      </c>
      <c r="G249" s="25" t="s">
        <v>591</v>
      </c>
      <c r="H249" s="25" t="s">
        <v>592</v>
      </c>
      <c r="I249" s="25" t="s">
        <v>593</v>
      </c>
      <c r="J249" s="25" t="s">
        <v>594</v>
      </c>
      <c r="K249" s="25" t="s">
        <v>595</v>
      </c>
      <c r="L249" s="8"/>
      <c r="M249" s="8"/>
      <c r="N249" s="8"/>
    </row>
    <row r="250" spans="1:14" ht="15.4" customHeight="1" thickBot="1" x14ac:dyDescent="0.25">
      <c r="A250" s="8"/>
      <c r="B250" s="8"/>
      <c r="C250" s="8"/>
      <c r="D250" s="26"/>
      <c r="E250" s="27" t="s">
        <v>596</v>
      </c>
      <c r="F250" s="28">
        <v>2</v>
      </c>
      <c r="G250" s="29">
        <v>8.8000000000000007</v>
      </c>
      <c r="H250" s="29"/>
      <c r="I250" s="29"/>
      <c r="J250" s="31">
        <f>ROUND(F250*G250,2)</f>
        <v>17.600000000000001</v>
      </c>
      <c r="K250" s="33">
        <f>SUM(J250:J250)</f>
        <v>17.600000000000001</v>
      </c>
      <c r="L250" s="8"/>
      <c r="M250" s="8"/>
      <c r="N250" s="8"/>
    </row>
    <row r="251" spans="1:14" ht="15.4" customHeight="1" thickBot="1" x14ac:dyDescent="0.25">
      <c r="A251" s="12" t="s">
        <v>597</v>
      </c>
      <c r="B251" s="6" t="s">
        <v>598</v>
      </c>
      <c r="C251" s="6" t="s">
        <v>599</v>
      </c>
      <c r="D251" s="60" t="s">
        <v>600</v>
      </c>
      <c r="E251" s="60"/>
      <c r="F251" s="60"/>
      <c r="G251" s="60"/>
      <c r="H251" s="60"/>
      <c r="I251" s="60"/>
      <c r="J251" s="60"/>
      <c r="K251" s="22">
        <f>SUM(K254:K259)</f>
        <v>150.19999999999999</v>
      </c>
      <c r="L251" s="22">
        <f>ROUND(2.68*(1+M2/100),2)</f>
        <v>2.68</v>
      </c>
      <c r="M251" s="22">
        <f>ROUND(K251*L251,2)</f>
        <v>402.54</v>
      </c>
      <c r="N251" s="8"/>
    </row>
    <row r="252" spans="1:14" ht="21.6" customHeight="1" thickBot="1" x14ac:dyDescent="0.25">
      <c r="A252" s="8"/>
      <c r="B252" s="8"/>
      <c r="C252" s="8"/>
      <c r="D252" s="60" t="s">
        <v>601</v>
      </c>
      <c r="E252" s="60"/>
      <c r="F252" s="60"/>
      <c r="G252" s="60"/>
      <c r="H252" s="60"/>
      <c r="I252" s="60"/>
      <c r="J252" s="60"/>
      <c r="K252" s="60"/>
      <c r="L252" s="60"/>
      <c r="M252" s="60"/>
      <c r="N252" s="8"/>
    </row>
    <row r="253" spans="1:14" ht="15.4" customHeight="1" thickBot="1" x14ac:dyDescent="0.25">
      <c r="A253" s="8"/>
      <c r="B253" s="8"/>
      <c r="C253" s="8"/>
      <c r="D253" s="8"/>
      <c r="E253" s="23"/>
      <c r="F253" s="25" t="s">
        <v>602</v>
      </c>
      <c r="G253" s="25" t="s">
        <v>603</v>
      </c>
      <c r="H253" s="25" t="s">
        <v>604</v>
      </c>
      <c r="I253" s="25" t="s">
        <v>605</v>
      </c>
      <c r="J253" s="25" t="s">
        <v>606</v>
      </c>
      <c r="K253" s="25" t="s">
        <v>607</v>
      </c>
      <c r="L253" s="8"/>
      <c r="M253" s="8"/>
      <c r="N253" s="8"/>
    </row>
    <row r="254" spans="1:14" ht="15.4" customHeight="1" thickBot="1" x14ac:dyDescent="0.25">
      <c r="A254" s="8"/>
      <c r="B254" s="8"/>
      <c r="C254" s="8"/>
      <c r="D254" s="26"/>
      <c r="E254" s="27" t="s">
        <v>608</v>
      </c>
      <c r="F254" s="28"/>
      <c r="G254" s="29"/>
      <c r="H254" s="29"/>
      <c r="I254" s="29"/>
      <c r="J254" s="34" t="s">
        <v>609</v>
      </c>
      <c r="K254" s="35"/>
      <c r="L254" s="8"/>
      <c r="M254" s="8"/>
      <c r="N254" s="8"/>
    </row>
    <row r="255" spans="1:14" ht="15.4" customHeight="1" thickBot="1" x14ac:dyDescent="0.25">
      <c r="A255" s="8"/>
      <c r="B255" s="8"/>
      <c r="C255" s="8"/>
      <c r="D255" s="26"/>
      <c r="E255" s="6" t="s">
        <v>610</v>
      </c>
      <c r="F255" s="4">
        <v>1</v>
      </c>
      <c r="G255" s="22">
        <v>11.2</v>
      </c>
      <c r="H255" s="22"/>
      <c r="I255" s="22"/>
      <c r="J255" s="30">
        <f>ROUND(F255*G255,2)</f>
        <v>11.2</v>
      </c>
      <c r="K255" s="8"/>
      <c r="L255" s="8"/>
      <c r="M255" s="8"/>
      <c r="N255" s="8"/>
    </row>
    <row r="256" spans="1:14" ht="15.4" customHeight="1" thickBot="1" x14ac:dyDescent="0.25">
      <c r="A256" s="8"/>
      <c r="B256" s="8"/>
      <c r="C256" s="8"/>
      <c r="D256" s="26"/>
      <c r="E256" s="6" t="s">
        <v>611</v>
      </c>
      <c r="F256" s="4">
        <v>1</v>
      </c>
      <c r="G256" s="22">
        <v>10</v>
      </c>
      <c r="H256" s="22"/>
      <c r="I256" s="22"/>
      <c r="J256" s="30">
        <f>ROUND(F256*G256,2)</f>
        <v>10</v>
      </c>
      <c r="K256" s="8"/>
      <c r="L256" s="8"/>
      <c r="M256" s="8"/>
      <c r="N256" s="8"/>
    </row>
    <row r="257" spans="1:14" ht="15.4" customHeight="1" thickBot="1" x14ac:dyDescent="0.25">
      <c r="A257" s="8"/>
      <c r="B257" s="8"/>
      <c r="C257" s="8"/>
      <c r="D257" s="26"/>
      <c r="E257" s="6" t="s">
        <v>612</v>
      </c>
      <c r="F257" s="4">
        <v>1</v>
      </c>
      <c r="G257" s="22">
        <v>81.5</v>
      </c>
      <c r="H257" s="22"/>
      <c r="I257" s="22"/>
      <c r="J257" s="30">
        <f>ROUND(F257*G257,2)</f>
        <v>81.5</v>
      </c>
      <c r="K257" s="8"/>
      <c r="L257" s="8"/>
      <c r="M257" s="8"/>
      <c r="N257" s="8"/>
    </row>
    <row r="258" spans="1:14" ht="21.6" customHeight="1" thickBot="1" x14ac:dyDescent="0.25">
      <c r="A258" s="8"/>
      <c r="B258" s="8"/>
      <c r="C258" s="8"/>
      <c r="D258" s="26"/>
      <c r="E258" s="6" t="s">
        <v>613</v>
      </c>
      <c r="F258" s="4">
        <v>1</v>
      </c>
      <c r="G258" s="22">
        <v>12.5</v>
      </c>
      <c r="H258" s="22"/>
      <c r="I258" s="22"/>
      <c r="J258" s="30">
        <f>ROUND(F258*G258,2)</f>
        <v>12.5</v>
      </c>
      <c r="K258" s="8"/>
      <c r="L258" s="8"/>
      <c r="M258" s="8"/>
      <c r="N258" s="8"/>
    </row>
    <row r="259" spans="1:14" ht="15.4" customHeight="1" thickBot="1" x14ac:dyDescent="0.25">
      <c r="A259" s="8"/>
      <c r="B259" s="8"/>
      <c r="C259" s="8"/>
      <c r="D259" s="26"/>
      <c r="E259" s="6" t="s">
        <v>614</v>
      </c>
      <c r="F259" s="4">
        <v>1</v>
      </c>
      <c r="G259" s="22">
        <v>35</v>
      </c>
      <c r="H259" s="22"/>
      <c r="I259" s="22"/>
      <c r="J259" s="30">
        <f>ROUND(F259*G259,2)</f>
        <v>35</v>
      </c>
      <c r="K259" s="32">
        <f>SUM(J254:J259)</f>
        <v>150.19999999999999</v>
      </c>
      <c r="L259" s="8"/>
      <c r="M259" s="8"/>
      <c r="N259" s="8"/>
    </row>
    <row r="260" spans="1:14" ht="15.4" customHeight="1" thickBot="1" x14ac:dyDescent="0.25">
      <c r="A260" s="12" t="s">
        <v>615</v>
      </c>
      <c r="B260" s="6" t="s">
        <v>616</v>
      </c>
      <c r="C260" s="6" t="s">
        <v>617</v>
      </c>
      <c r="D260" s="60" t="s">
        <v>618</v>
      </c>
      <c r="E260" s="60"/>
      <c r="F260" s="60"/>
      <c r="G260" s="60"/>
      <c r="H260" s="60"/>
      <c r="I260" s="60"/>
      <c r="J260" s="60"/>
      <c r="K260" s="22">
        <f>SUM(K263:K263)</f>
        <v>9.4499999999999993</v>
      </c>
      <c r="L260" s="22">
        <f>ROUND(142.81*(1+M2/100),2)</f>
        <v>142.81</v>
      </c>
      <c r="M260" s="22">
        <f>ROUND(K260*L260,2)</f>
        <v>1349.55</v>
      </c>
      <c r="N260" s="8"/>
    </row>
    <row r="261" spans="1:14" ht="21.6" customHeight="1" thickBot="1" x14ac:dyDescent="0.25">
      <c r="A261" s="8"/>
      <c r="B261" s="8"/>
      <c r="C261" s="8"/>
      <c r="D261" s="60" t="s">
        <v>619</v>
      </c>
      <c r="E261" s="60"/>
      <c r="F261" s="60"/>
      <c r="G261" s="60"/>
      <c r="H261" s="60"/>
      <c r="I261" s="60"/>
      <c r="J261" s="60"/>
      <c r="K261" s="60"/>
      <c r="L261" s="60"/>
      <c r="M261" s="60"/>
      <c r="N261" s="8"/>
    </row>
    <row r="262" spans="1:14" ht="15.4" customHeight="1" thickBot="1" x14ac:dyDescent="0.25">
      <c r="A262" s="8"/>
      <c r="B262" s="8"/>
      <c r="C262" s="8"/>
      <c r="D262" s="8"/>
      <c r="E262" s="23"/>
      <c r="F262" s="25" t="s">
        <v>620</v>
      </c>
      <c r="G262" s="25" t="s">
        <v>621</v>
      </c>
      <c r="H262" s="25" t="s">
        <v>622</v>
      </c>
      <c r="I262" s="25" t="s">
        <v>623</v>
      </c>
      <c r="J262" s="25" t="s">
        <v>624</v>
      </c>
      <c r="K262" s="25" t="s">
        <v>625</v>
      </c>
      <c r="L262" s="8"/>
      <c r="M262" s="8"/>
      <c r="N262" s="8"/>
    </row>
    <row r="263" spans="1:14" ht="30.95" customHeight="1" thickBot="1" x14ac:dyDescent="0.25">
      <c r="A263" s="8"/>
      <c r="B263" s="8"/>
      <c r="C263" s="8"/>
      <c r="D263" s="26"/>
      <c r="E263" s="27" t="s">
        <v>626</v>
      </c>
      <c r="F263" s="28">
        <v>3</v>
      </c>
      <c r="G263" s="29">
        <v>3.15</v>
      </c>
      <c r="H263" s="29"/>
      <c r="I263" s="29"/>
      <c r="J263" s="31">
        <f>ROUND(F263*G263,2)</f>
        <v>9.4499999999999993</v>
      </c>
      <c r="K263" s="33">
        <f>SUM(J263:J263)</f>
        <v>9.4499999999999993</v>
      </c>
      <c r="L263" s="8"/>
      <c r="M263" s="8"/>
      <c r="N263" s="8"/>
    </row>
    <row r="264" spans="1:14" ht="15.4" customHeight="1" thickBot="1" x14ac:dyDescent="0.25">
      <c r="A264" s="12" t="s">
        <v>627</v>
      </c>
      <c r="B264" s="6" t="s">
        <v>628</v>
      </c>
      <c r="C264" s="6" t="s">
        <v>629</v>
      </c>
      <c r="D264" s="60" t="s">
        <v>630</v>
      </c>
      <c r="E264" s="60"/>
      <c r="F264" s="60"/>
      <c r="G264" s="60"/>
      <c r="H264" s="60"/>
      <c r="I264" s="60"/>
      <c r="J264" s="60"/>
      <c r="K264" s="22">
        <f>SUM(K267:K271)</f>
        <v>102</v>
      </c>
      <c r="L264" s="22">
        <f>ROUND(35.71*(1+M2/100),2)</f>
        <v>35.71</v>
      </c>
      <c r="M264" s="22">
        <f>ROUND(K264*L264,2)</f>
        <v>3642.42</v>
      </c>
      <c r="N264" s="8"/>
    </row>
    <row r="265" spans="1:14" ht="30.95" customHeight="1" thickBot="1" x14ac:dyDescent="0.25">
      <c r="A265" s="8"/>
      <c r="B265" s="8"/>
      <c r="C265" s="8"/>
      <c r="D265" s="60" t="s">
        <v>631</v>
      </c>
      <c r="E265" s="60"/>
      <c r="F265" s="60"/>
      <c r="G265" s="60"/>
      <c r="H265" s="60"/>
      <c r="I265" s="60"/>
      <c r="J265" s="60"/>
      <c r="K265" s="60"/>
      <c r="L265" s="60"/>
      <c r="M265" s="60"/>
      <c r="N265" s="8"/>
    </row>
    <row r="266" spans="1:14" ht="15.4" customHeight="1" thickBot="1" x14ac:dyDescent="0.25">
      <c r="A266" s="8"/>
      <c r="B266" s="8"/>
      <c r="C266" s="8"/>
      <c r="D266" s="8"/>
      <c r="E266" s="23"/>
      <c r="F266" s="25" t="s">
        <v>632</v>
      </c>
      <c r="G266" s="25" t="s">
        <v>633</v>
      </c>
      <c r="H266" s="25" t="s">
        <v>634</v>
      </c>
      <c r="I266" s="25" t="s">
        <v>635</v>
      </c>
      <c r="J266" s="25" t="s">
        <v>636</v>
      </c>
      <c r="K266" s="25" t="s">
        <v>637</v>
      </c>
      <c r="L266" s="8"/>
      <c r="M266" s="8"/>
      <c r="N266" s="8"/>
    </row>
    <row r="267" spans="1:14" ht="21.6" customHeight="1" thickBot="1" x14ac:dyDescent="0.25">
      <c r="A267" s="8"/>
      <c r="B267" s="8"/>
      <c r="C267" s="8"/>
      <c r="D267" s="26"/>
      <c r="E267" s="27" t="s">
        <v>638</v>
      </c>
      <c r="F267" s="28"/>
      <c r="G267" s="29"/>
      <c r="H267" s="29"/>
      <c r="I267" s="29"/>
      <c r="J267" s="34" t="s">
        <v>639</v>
      </c>
      <c r="K267" s="35"/>
      <c r="L267" s="8"/>
      <c r="M267" s="8"/>
      <c r="N267" s="8"/>
    </row>
    <row r="268" spans="1:14" ht="15.4" customHeight="1" thickBot="1" x14ac:dyDescent="0.25">
      <c r="A268" s="8"/>
      <c r="B268" s="8"/>
      <c r="C268" s="8"/>
      <c r="D268" s="26"/>
      <c r="E268" s="6" t="s">
        <v>640</v>
      </c>
      <c r="F268" s="4">
        <v>1</v>
      </c>
      <c r="G268" s="22">
        <v>30</v>
      </c>
      <c r="H268" s="22"/>
      <c r="I268" s="22"/>
      <c r="J268" s="30">
        <f>ROUND(F268*G268,2)</f>
        <v>30</v>
      </c>
      <c r="K268" s="8"/>
      <c r="L268" s="8"/>
      <c r="M268" s="8"/>
      <c r="N268" s="8"/>
    </row>
    <row r="269" spans="1:14" ht="15.4" customHeight="1" thickBot="1" x14ac:dyDescent="0.25">
      <c r="A269" s="8"/>
      <c r="B269" s="8"/>
      <c r="C269" s="8"/>
      <c r="D269" s="26"/>
      <c r="E269" s="6" t="s">
        <v>641</v>
      </c>
      <c r="F269" s="4">
        <v>1</v>
      </c>
      <c r="G269" s="22">
        <v>35</v>
      </c>
      <c r="H269" s="22"/>
      <c r="I269" s="22"/>
      <c r="J269" s="30">
        <f>ROUND(F269*G269,2)</f>
        <v>35</v>
      </c>
      <c r="K269" s="8"/>
      <c r="L269" s="8"/>
      <c r="M269" s="8"/>
      <c r="N269" s="8"/>
    </row>
    <row r="270" spans="1:14" ht="15.4" customHeight="1" thickBot="1" x14ac:dyDescent="0.25">
      <c r="A270" s="8"/>
      <c r="B270" s="8"/>
      <c r="C270" s="8"/>
      <c r="D270" s="26"/>
      <c r="E270" s="6" t="s">
        <v>642</v>
      </c>
      <c r="F270" s="4">
        <v>2</v>
      </c>
      <c r="G270" s="22">
        <v>10</v>
      </c>
      <c r="H270" s="22"/>
      <c r="I270" s="22"/>
      <c r="J270" s="30">
        <f>ROUND(F270*G270,2)</f>
        <v>20</v>
      </c>
      <c r="K270" s="8"/>
      <c r="L270" s="8"/>
      <c r="M270" s="8"/>
      <c r="N270" s="8"/>
    </row>
    <row r="271" spans="1:14" ht="21.6" customHeight="1" thickBot="1" x14ac:dyDescent="0.25">
      <c r="A271" s="8"/>
      <c r="B271" s="8"/>
      <c r="C271" s="8"/>
      <c r="D271" s="26"/>
      <c r="E271" s="6" t="s">
        <v>643</v>
      </c>
      <c r="F271" s="4">
        <v>2</v>
      </c>
      <c r="G271" s="22">
        <v>8.5</v>
      </c>
      <c r="H271" s="22"/>
      <c r="I271" s="22"/>
      <c r="J271" s="30">
        <f>ROUND(F271*G271,2)</f>
        <v>17</v>
      </c>
      <c r="K271" s="32">
        <f>SUM(J267:J271)</f>
        <v>102</v>
      </c>
      <c r="L271" s="8"/>
      <c r="M271" s="8"/>
      <c r="N271" s="8"/>
    </row>
    <row r="272" spans="1:14" ht="15.4" customHeight="1" thickBot="1" x14ac:dyDescent="0.25">
      <c r="A272" s="12" t="s">
        <v>644</v>
      </c>
      <c r="B272" s="6" t="s">
        <v>645</v>
      </c>
      <c r="C272" s="6" t="s">
        <v>646</v>
      </c>
      <c r="D272" s="60" t="s">
        <v>647</v>
      </c>
      <c r="E272" s="60"/>
      <c r="F272" s="60"/>
      <c r="G272" s="60"/>
      <c r="H272" s="60"/>
      <c r="I272" s="60"/>
      <c r="J272" s="60"/>
      <c r="K272" s="22">
        <f>SUM(K275:K278)</f>
        <v>184.6</v>
      </c>
      <c r="L272" s="22">
        <f>ROUND(71.4*(1+M2/100),2)</f>
        <v>71.400000000000006</v>
      </c>
      <c r="M272" s="22">
        <f>ROUND(K272*L272,2)</f>
        <v>13180.44</v>
      </c>
      <c r="N272" s="8"/>
    </row>
    <row r="273" spans="1:14" ht="59.1" customHeight="1" thickBot="1" x14ac:dyDescent="0.25">
      <c r="A273" s="8"/>
      <c r="B273" s="8"/>
      <c r="C273" s="8"/>
      <c r="D273" s="60" t="s">
        <v>648</v>
      </c>
      <c r="E273" s="60"/>
      <c r="F273" s="60"/>
      <c r="G273" s="60"/>
      <c r="H273" s="60"/>
      <c r="I273" s="60"/>
      <c r="J273" s="60"/>
      <c r="K273" s="60"/>
      <c r="L273" s="60"/>
      <c r="M273" s="60"/>
      <c r="N273" s="8"/>
    </row>
    <row r="274" spans="1:14" ht="15.4" customHeight="1" thickBot="1" x14ac:dyDescent="0.25">
      <c r="A274" s="8"/>
      <c r="B274" s="8"/>
      <c r="C274" s="8"/>
      <c r="D274" s="8"/>
      <c r="E274" s="23"/>
      <c r="F274" s="25" t="s">
        <v>649</v>
      </c>
      <c r="G274" s="25" t="s">
        <v>650</v>
      </c>
      <c r="H274" s="25" t="s">
        <v>651</v>
      </c>
      <c r="I274" s="25" t="s">
        <v>652</v>
      </c>
      <c r="J274" s="25" t="s">
        <v>653</v>
      </c>
      <c r="K274" s="25" t="s">
        <v>654</v>
      </c>
      <c r="L274" s="8"/>
      <c r="M274" s="8"/>
      <c r="N274" s="8"/>
    </row>
    <row r="275" spans="1:14" ht="21.6" customHeight="1" thickBot="1" x14ac:dyDescent="0.25">
      <c r="A275" s="8"/>
      <c r="B275" s="8"/>
      <c r="C275" s="8"/>
      <c r="D275" s="26"/>
      <c r="E275" s="27" t="s">
        <v>655</v>
      </c>
      <c r="F275" s="28">
        <v>2</v>
      </c>
      <c r="G275" s="29">
        <v>65</v>
      </c>
      <c r="H275" s="29"/>
      <c r="I275" s="29"/>
      <c r="J275" s="31">
        <f>ROUND(F275*G275,2)</f>
        <v>130</v>
      </c>
      <c r="K275" s="35"/>
      <c r="L275" s="8"/>
      <c r="M275" s="8"/>
      <c r="N275" s="8"/>
    </row>
    <row r="276" spans="1:14" ht="21.6" customHeight="1" thickBot="1" x14ac:dyDescent="0.25">
      <c r="A276" s="8"/>
      <c r="B276" s="8"/>
      <c r="C276" s="8"/>
      <c r="D276" s="26"/>
      <c r="E276" s="6" t="s">
        <v>656</v>
      </c>
      <c r="F276" s="4">
        <v>2</v>
      </c>
      <c r="G276" s="22">
        <v>8.8000000000000007</v>
      </c>
      <c r="H276" s="22"/>
      <c r="I276" s="22"/>
      <c r="J276" s="30">
        <f>ROUND(F276*G276,2)</f>
        <v>17.600000000000001</v>
      </c>
      <c r="K276" s="8"/>
      <c r="L276" s="8"/>
      <c r="M276" s="8"/>
      <c r="N276" s="8"/>
    </row>
    <row r="277" spans="1:14" ht="21.6" customHeight="1" thickBot="1" x14ac:dyDescent="0.25">
      <c r="A277" s="8"/>
      <c r="B277" s="8"/>
      <c r="C277" s="8"/>
      <c r="D277" s="26"/>
      <c r="E277" s="6" t="s">
        <v>657</v>
      </c>
      <c r="F277" s="4">
        <v>2</v>
      </c>
      <c r="G277" s="22">
        <v>10</v>
      </c>
      <c r="H277" s="22"/>
      <c r="I277" s="22"/>
      <c r="J277" s="30">
        <f>ROUND(F277*G277,2)</f>
        <v>20</v>
      </c>
      <c r="K277" s="8"/>
      <c r="L277" s="8"/>
      <c r="M277" s="8"/>
      <c r="N277" s="8"/>
    </row>
    <row r="278" spans="1:14" ht="21.6" customHeight="1" thickBot="1" x14ac:dyDescent="0.25">
      <c r="A278" s="8"/>
      <c r="B278" s="8"/>
      <c r="C278" s="8"/>
      <c r="D278" s="26"/>
      <c r="E278" s="6" t="s">
        <v>658</v>
      </c>
      <c r="F278" s="4">
        <v>2</v>
      </c>
      <c r="G278" s="22">
        <v>8.5</v>
      </c>
      <c r="H278" s="22"/>
      <c r="I278" s="22"/>
      <c r="J278" s="30">
        <f>ROUND(F278*G278,2)</f>
        <v>17</v>
      </c>
      <c r="K278" s="32">
        <f>SUM(J275:J278)</f>
        <v>184.6</v>
      </c>
      <c r="L278" s="8"/>
      <c r="M278" s="8"/>
      <c r="N278" s="8"/>
    </row>
    <row r="279" spans="1:14" ht="15.4" customHeight="1" thickBot="1" x14ac:dyDescent="0.25">
      <c r="A279" s="36"/>
      <c r="B279" s="36"/>
      <c r="C279" s="36"/>
      <c r="D279" s="37" t="s">
        <v>659</v>
      </c>
      <c r="E279" s="38"/>
      <c r="F279" s="38"/>
      <c r="G279" s="38"/>
      <c r="H279" s="38"/>
      <c r="I279" s="38"/>
      <c r="J279" s="38"/>
      <c r="K279" s="38"/>
      <c r="L279" s="39">
        <f>M175+M183+M188+M193+M197+M205+M211+M215+M219+M223+M227+M231+M235+M239+M243+M247+M251+M260+M264+M272</f>
        <v>54774.990000000005</v>
      </c>
      <c r="M279" s="39">
        <f>ROUND(L279,2)</f>
        <v>54774.99</v>
      </c>
      <c r="N279" s="8"/>
    </row>
    <row r="280" spans="1:14" ht="15.4" customHeight="1" thickBot="1" x14ac:dyDescent="0.25">
      <c r="A280" s="43"/>
      <c r="B280" s="43"/>
      <c r="C280" s="43"/>
      <c r="D280" s="44" t="s">
        <v>660</v>
      </c>
      <c r="E280" s="45"/>
      <c r="F280" s="45"/>
      <c r="G280" s="45"/>
      <c r="H280" s="45"/>
      <c r="I280" s="45"/>
      <c r="J280" s="45"/>
      <c r="K280" s="45"/>
      <c r="L280" s="46">
        <f>M109+M162+M173+M279</f>
        <v>116260.17</v>
      </c>
      <c r="M280" s="46">
        <f>ROUND(L280,2)</f>
        <v>116260.17</v>
      </c>
      <c r="N280" s="8"/>
    </row>
    <row r="281" spans="1:14" ht="15.4" customHeight="1" thickBot="1" x14ac:dyDescent="0.25">
      <c r="A281" s="47" t="s">
        <v>661</v>
      </c>
      <c r="B281" s="47" t="s">
        <v>662</v>
      </c>
      <c r="C281" s="48"/>
      <c r="D281" s="62" t="s">
        <v>663</v>
      </c>
      <c r="E281" s="62"/>
      <c r="F281" s="62"/>
      <c r="G281" s="62"/>
      <c r="H281" s="62"/>
      <c r="I281" s="62"/>
      <c r="J281" s="62"/>
      <c r="K281" s="48"/>
      <c r="L281" s="49">
        <f>L370</f>
        <v>233038.65</v>
      </c>
      <c r="M281" s="49">
        <f>ROUND(L281,2)</f>
        <v>233038.65</v>
      </c>
      <c r="N281" s="8"/>
    </row>
    <row r="282" spans="1:14" ht="15.4" customHeight="1" thickBot="1" x14ac:dyDescent="0.25">
      <c r="A282" s="12" t="s">
        <v>664</v>
      </c>
      <c r="B282" s="6" t="s">
        <v>665</v>
      </c>
      <c r="C282" s="6" t="s">
        <v>666</v>
      </c>
      <c r="D282" s="60" t="s">
        <v>667</v>
      </c>
      <c r="E282" s="60"/>
      <c r="F282" s="60"/>
      <c r="G282" s="60"/>
      <c r="H282" s="60"/>
      <c r="I282" s="60"/>
      <c r="J282" s="60"/>
      <c r="K282" s="22">
        <f>SUM(K285:K285)</f>
        <v>140</v>
      </c>
      <c r="L282" s="22">
        <f>ROUND(9.75*(1+M2/100),2)</f>
        <v>9.75</v>
      </c>
      <c r="M282" s="22">
        <f>ROUND(K282*L282,2)</f>
        <v>1365</v>
      </c>
      <c r="N282" s="8"/>
    </row>
    <row r="283" spans="1:14" ht="115.15" customHeight="1" thickBot="1" x14ac:dyDescent="0.25">
      <c r="A283" s="8"/>
      <c r="B283" s="8"/>
      <c r="C283" s="8"/>
      <c r="D283" s="60" t="s">
        <v>668</v>
      </c>
      <c r="E283" s="60"/>
      <c r="F283" s="60"/>
      <c r="G283" s="60"/>
      <c r="H283" s="60"/>
      <c r="I283" s="60"/>
      <c r="J283" s="60"/>
      <c r="K283" s="60"/>
      <c r="L283" s="60"/>
      <c r="M283" s="60"/>
      <c r="N283" s="8"/>
    </row>
    <row r="284" spans="1:14" ht="15.4" customHeight="1" thickBot="1" x14ac:dyDescent="0.25">
      <c r="A284" s="8"/>
      <c r="B284" s="8"/>
      <c r="C284" s="8"/>
      <c r="D284" s="8"/>
      <c r="E284" s="23"/>
      <c r="F284" s="25" t="s">
        <v>669</v>
      </c>
      <c r="G284" s="25" t="s">
        <v>670</v>
      </c>
      <c r="H284" s="25" t="s">
        <v>671</v>
      </c>
      <c r="I284" s="25" t="s">
        <v>672</v>
      </c>
      <c r="J284" s="25" t="s">
        <v>673</v>
      </c>
      <c r="K284" s="25" t="s">
        <v>674</v>
      </c>
      <c r="L284" s="8"/>
      <c r="M284" s="8"/>
      <c r="N284" s="8"/>
    </row>
    <row r="285" spans="1:14" ht="15.4" customHeight="1" thickBot="1" x14ac:dyDescent="0.25">
      <c r="A285" s="8"/>
      <c r="B285" s="8"/>
      <c r="C285" s="8"/>
      <c r="D285" s="26"/>
      <c r="E285" s="27" t="s">
        <v>675</v>
      </c>
      <c r="F285" s="28">
        <v>1</v>
      </c>
      <c r="G285" s="29">
        <v>140</v>
      </c>
      <c r="H285" s="29"/>
      <c r="I285" s="29"/>
      <c r="J285" s="31">
        <f>ROUND(F285*G285,2)</f>
        <v>140</v>
      </c>
      <c r="K285" s="33">
        <f>SUM(J285:J285)</f>
        <v>140</v>
      </c>
      <c r="L285" s="8"/>
      <c r="M285" s="8"/>
      <c r="N285" s="8"/>
    </row>
    <row r="286" spans="1:14" ht="15.4" customHeight="1" thickBot="1" x14ac:dyDescent="0.25">
      <c r="A286" s="12" t="s">
        <v>676</v>
      </c>
      <c r="B286" s="6" t="s">
        <v>677</v>
      </c>
      <c r="C286" s="6" t="s">
        <v>678</v>
      </c>
      <c r="D286" s="60" t="s">
        <v>679</v>
      </c>
      <c r="E286" s="60"/>
      <c r="F286" s="60"/>
      <c r="G286" s="60"/>
      <c r="H286" s="60"/>
      <c r="I286" s="60"/>
      <c r="J286" s="60"/>
      <c r="K286" s="22">
        <f>SUM(K289:K289)</f>
        <v>45</v>
      </c>
      <c r="L286" s="22">
        <f>ROUND(22.75*(1+M2/100),2)</f>
        <v>22.75</v>
      </c>
      <c r="M286" s="22">
        <f>ROUND(K286*L286,2)</f>
        <v>1023.75</v>
      </c>
      <c r="N286" s="8"/>
    </row>
    <row r="287" spans="1:14" ht="162" customHeight="1" thickBot="1" x14ac:dyDescent="0.25">
      <c r="A287" s="8"/>
      <c r="B287" s="8"/>
      <c r="C287" s="8"/>
      <c r="D287" s="60" t="s">
        <v>680</v>
      </c>
      <c r="E287" s="60"/>
      <c r="F287" s="60"/>
      <c r="G287" s="60"/>
      <c r="H287" s="60"/>
      <c r="I287" s="60"/>
      <c r="J287" s="60"/>
      <c r="K287" s="60"/>
      <c r="L287" s="60"/>
      <c r="M287" s="60"/>
      <c r="N287" s="8"/>
    </row>
    <row r="288" spans="1:14" ht="15.4" customHeight="1" thickBot="1" x14ac:dyDescent="0.25">
      <c r="A288" s="8"/>
      <c r="B288" s="8"/>
      <c r="C288" s="8"/>
      <c r="D288" s="8"/>
      <c r="E288" s="23"/>
      <c r="F288" s="25" t="s">
        <v>681</v>
      </c>
      <c r="G288" s="25" t="s">
        <v>682</v>
      </c>
      <c r="H288" s="25" t="s">
        <v>683</v>
      </c>
      <c r="I288" s="25" t="s">
        <v>684</v>
      </c>
      <c r="J288" s="25" t="s">
        <v>685</v>
      </c>
      <c r="K288" s="25" t="s">
        <v>686</v>
      </c>
      <c r="L288" s="8"/>
      <c r="M288" s="8"/>
      <c r="N288" s="8"/>
    </row>
    <row r="289" spans="1:14" ht="15.4" customHeight="1" thickBot="1" x14ac:dyDescent="0.25">
      <c r="A289" s="8"/>
      <c r="B289" s="8"/>
      <c r="C289" s="8"/>
      <c r="D289" s="26"/>
      <c r="E289" s="27" t="s">
        <v>687</v>
      </c>
      <c r="F289" s="28">
        <v>1</v>
      </c>
      <c r="G289" s="29">
        <v>45</v>
      </c>
      <c r="H289" s="29"/>
      <c r="I289" s="29"/>
      <c r="J289" s="31">
        <f>ROUND(F289*G289,2)</f>
        <v>45</v>
      </c>
      <c r="K289" s="33">
        <f>SUM(J289:J289)</f>
        <v>45</v>
      </c>
      <c r="L289" s="8"/>
      <c r="M289" s="8"/>
      <c r="N289" s="8"/>
    </row>
    <row r="290" spans="1:14" ht="15.4" customHeight="1" thickBot="1" x14ac:dyDescent="0.25">
      <c r="A290" s="12" t="s">
        <v>688</v>
      </c>
      <c r="B290" s="6" t="s">
        <v>689</v>
      </c>
      <c r="C290" s="6" t="s">
        <v>690</v>
      </c>
      <c r="D290" s="60" t="s">
        <v>691</v>
      </c>
      <c r="E290" s="60"/>
      <c r="F290" s="60"/>
      <c r="G290" s="60"/>
      <c r="H290" s="60"/>
      <c r="I290" s="60"/>
      <c r="J290" s="60"/>
      <c r="K290" s="22">
        <f>SUM(K293:K298)</f>
        <v>320.5</v>
      </c>
      <c r="L290" s="22">
        <f>ROUND(32.37*(1+M2/100),2)</f>
        <v>32.369999999999997</v>
      </c>
      <c r="M290" s="22">
        <f>ROUND(K290*L290,2)</f>
        <v>10374.59</v>
      </c>
      <c r="N290" s="8"/>
    </row>
    <row r="291" spans="1:14" ht="162" customHeight="1" thickBot="1" x14ac:dyDescent="0.25">
      <c r="A291" s="8"/>
      <c r="B291" s="8"/>
      <c r="C291" s="8"/>
      <c r="D291" s="60" t="s">
        <v>692</v>
      </c>
      <c r="E291" s="60"/>
      <c r="F291" s="60"/>
      <c r="G291" s="60"/>
      <c r="H291" s="60"/>
      <c r="I291" s="60"/>
      <c r="J291" s="60"/>
      <c r="K291" s="60"/>
      <c r="L291" s="60"/>
      <c r="M291" s="60"/>
      <c r="N291" s="8"/>
    </row>
    <row r="292" spans="1:14" ht="15.4" customHeight="1" thickBot="1" x14ac:dyDescent="0.25">
      <c r="A292" s="8"/>
      <c r="B292" s="8"/>
      <c r="C292" s="8"/>
      <c r="D292" s="8"/>
      <c r="E292" s="23"/>
      <c r="F292" s="25" t="s">
        <v>693</v>
      </c>
      <c r="G292" s="25" t="s">
        <v>694</v>
      </c>
      <c r="H292" s="25" t="s">
        <v>695</v>
      </c>
      <c r="I292" s="25" t="s">
        <v>696</v>
      </c>
      <c r="J292" s="25" t="s">
        <v>697</v>
      </c>
      <c r="K292" s="25" t="s">
        <v>698</v>
      </c>
      <c r="L292" s="8"/>
      <c r="M292" s="8"/>
      <c r="N292" s="8"/>
    </row>
    <row r="293" spans="1:14" ht="15.4" customHeight="1" thickBot="1" x14ac:dyDescent="0.25">
      <c r="A293" s="8"/>
      <c r="B293" s="8"/>
      <c r="C293" s="8"/>
      <c r="D293" s="26"/>
      <c r="E293" s="27" t="s">
        <v>699</v>
      </c>
      <c r="F293" s="28">
        <v>1</v>
      </c>
      <c r="G293" s="29">
        <v>82</v>
      </c>
      <c r="H293" s="29"/>
      <c r="I293" s="29"/>
      <c r="J293" s="31">
        <f t="shared" ref="J293:J298" si="2">ROUND(F293*G293,2)</f>
        <v>82</v>
      </c>
      <c r="K293" s="35"/>
      <c r="L293" s="8"/>
      <c r="M293" s="8"/>
      <c r="N293" s="8"/>
    </row>
    <row r="294" spans="1:14" ht="15.4" customHeight="1" thickBot="1" x14ac:dyDescent="0.25">
      <c r="A294" s="8"/>
      <c r="B294" s="8"/>
      <c r="C294" s="8"/>
      <c r="D294" s="26"/>
      <c r="E294" s="6" t="s">
        <v>700</v>
      </c>
      <c r="F294" s="4">
        <v>1</v>
      </c>
      <c r="G294" s="22">
        <v>105</v>
      </c>
      <c r="H294" s="22"/>
      <c r="I294" s="22"/>
      <c r="J294" s="30">
        <f t="shared" si="2"/>
        <v>105</v>
      </c>
      <c r="K294" s="8"/>
      <c r="L294" s="8"/>
      <c r="M294" s="8"/>
      <c r="N294" s="8"/>
    </row>
    <row r="295" spans="1:14" ht="15.4" customHeight="1" thickBot="1" x14ac:dyDescent="0.25">
      <c r="A295" s="8"/>
      <c r="B295" s="8"/>
      <c r="C295" s="8"/>
      <c r="D295" s="26"/>
      <c r="E295" s="6" t="s">
        <v>701</v>
      </c>
      <c r="F295" s="4">
        <v>1</v>
      </c>
      <c r="G295" s="22">
        <v>35</v>
      </c>
      <c r="H295" s="22"/>
      <c r="I295" s="22"/>
      <c r="J295" s="30">
        <f t="shared" si="2"/>
        <v>35</v>
      </c>
      <c r="K295" s="8"/>
      <c r="L295" s="8"/>
      <c r="M295" s="8"/>
      <c r="N295" s="8"/>
    </row>
    <row r="296" spans="1:14" ht="15.4" customHeight="1" thickBot="1" x14ac:dyDescent="0.25">
      <c r="A296" s="8"/>
      <c r="B296" s="8"/>
      <c r="C296" s="8"/>
      <c r="D296" s="26"/>
      <c r="E296" s="6" t="s">
        <v>702</v>
      </c>
      <c r="F296" s="4">
        <v>1</v>
      </c>
      <c r="G296" s="22">
        <v>65</v>
      </c>
      <c r="H296" s="22"/>
      <c r="I296" s="22"/>
      <c r="J296" s="30">
        <f t="shared" si="2"/>
        <v>65</v>
      </c>
      <c r="K296" s="8"/>
      <c r="L296" s="8"/>
      <c r="M296" s="8"/>
      <c r="N296" s="8"/>
    </row>
    <row r="297" spans="1:14" ht="15.4" customHeight="1" thickBot="1" x14ac:dyDescent="0.25">
      <c r="A297" s="8"/>
      <c r="B297" s="8"/>
      <c r="C297" s="8"/>
      <c r="D297" s="26"/>
      <c r="E297" s="6" t="s">
        <v>703</v>
      </c>
      <c r="F297" s="4">
        <v>1</v>
      </c>
      <c r="G297" s="22">
        <v>24</v>
      </c>
      <c r="H297" s="22"/>
      <c r="I297" s="22"/>
      <c r="J297" s="30">
        <f t="shared" si="2"/>
        <v>24</v>
      </c>
      <c r="K297" s="8"/>
      <c r="L297" s="8"/>
      <c r="M297" s="8"/>
      <c r="N297" s="8"/>
    </row>
    <row r="298" spans="1:14" ht="15.4" customHeight="1" thickBot="1" x14ac:dyDescent="0.25">
      <c r="A298" s="8"/>
      <c r="B298" s="8"/>
      <c r="C298" s="8"/>
      <c r="D298" s="26"/>
      <c r="E298" s="6" t="s">
        <v>704</v>
      </c>
      <c r="F298" s="4">
        <v>1</v>
      </c>
      <c r="G298" s="22">
        <v>9.5</v>
      </c>
      <c r="H298" s="22"/>
      <c r="I298" s="22"/>
      <c r="J298" s="30">
        <f t="shared" si="2"/>
        <v>9.5</v>
      </c>
      <c r="K298" s="32">
        <f>SUM(J293:J298)</f>
        <v>320.5</v>
      </c>
      <c r="L298" s="8"/>
      <c r="M298" s="8"/>
      <c r="N298" s="8"/>
    </row>
    <row r="299" spans="1:14" ht="15.4" customHeight="1" thickBot="1" x14ac:dyDescent="0.25">
      <c r="A299" s="12" t="s">
        <v>705</v>
      </c>
      <c r="B299" s="6" t="s">
        <v>706</v>
      </c>
      <c r="C299" s="6" t="s">
        <v>707</v>
      </c>
      <c r="D299" s="60" t="s">
        <v>708</v>
      </c>
      <c r="E299" s="60"/>
      <c r="F299" s="60"/>
      <c r="G299" s="60"/>
      <c r="H299" s="60"/>
      <c r="I299" s="60"/>
      <c r="J299" s="60"/>
      <c r="K299" s="22">
        <f>SUM(K302:K315)</f>
        <v>624.5</v>
      </c>
      <c r="L299" s="22">
        <f>ROUND(10.71*(1+M2/100),2)</f>
        <v>10.71</v>
      </c>
      <c r="M299" s="22">
        <f>ROUND(K299*L299,2)</f>
        <v>6688.4</v>
      </c>
      <c r="N299" s="8"/>
    </row>
    <row r="300" spans="1:14" ht="12.2" customHeight="1" thickBot="1" x14ac:dyDescent="0.25">
      <c r="A300" s="8"/>
      <c r="B300" s="8"/>
      <c r="C300" s="8"/>
      <c r="D300" s="60" t="s">
        <v>709</v>
      </c>
      <c r="E300" s="60"/>
      <c r="F300" s="60"/>
      <c r="G300" s="60"/>
      <c r="H300" s="60"/>
      <c r="I300" s="60"/>
      <c r="J300" s="60"/>
      <c r="K300" s="60"/>
      <c r="L300" s="60"/>
      <c r="M300" s="60"/>
      <c r="N300" s="8"/>
    </row>
    <row r="301" spans="1:14" ht="15.4" customHeight="1" thickBot="1" x14ac:dyDescent="0.25">
      <c r="A301" s="8"/>
      <c r="B301" s="8"/>
      <c r="C301" s="8"/>
      <c r="D301" s="8"/>
      <c r="E301" s="23"/>
      <c r="F301" s="25" t="s">
        <v>710</v>
      </c>
      <c r="G301" s="25" t="s">
        <v>711</v>
      </c>
      <c r="H301" s="25" t="s">
        <v>712</v>
      </c>
      <c r="I301" s="25" t="s">
        <v>713</v>
      </c>
      <c r="J301" s="25" t="s">
        <v>714</v>
      </c>
      <c r="K301" s="25" t="s">
        <v>715</v>
      </c>
      <c r="L301" s="8"/>
      <c r="M301" s="8"/>
      <c r="N301" s="8"/>
    </row>
    <row r="302" spans="1:14" ht="15.4" customHeight="1" thickBot="1" x14ac:dyDescent="0.25">
      <c r="A302" s="8"/>
      <c r="B302" s="8"/>
      <c r="C302" s="8"/>
      <c r="D302" s="26"/>
      <c r="E302" s="27" t="s">
        <v>716</v>
      </c>
      <c r="F302" s="28">
        <v>1</v>
      </c>
      <c r="G302" s="29">
        <v>30.5</v>
      </c>
      <c r="H302" s="29"/>
      <c r="I302" s="29"/>
      <c r="J302" s="31">
        <f t="shared" ref="J302:J315" si="3">ROUND(F302*G302,2)</f>
        <v>30.5</v>
      </c>
      <c r="K302" s="35"/>
      <c r="L302" s="8"/>
      <c r="M302" s="8"/>
      <c r="N302" s="8"/>
    </row>
    <row r="303" spans="1:14" ht="15.4" customHeight="1" thickBot="1" x14ac:dyDescent="0.25">
      <c r="A303" s="8"/>
      <c r="B303" s="8"/>
      <c r="C303" s="8"/>
      <c r="D303" s="26"/>
      <c r="E303" s="6" t="s">
        <v>717</v>
      </c>
      <c r="F303" s="4">
        <v>1</v>
      </c>
      <c r="G303" s="22">
        <v>70</v>
      </c>
      <c r="H303" s="22"/>
      <c r="I303" s="22"/>
      <c r="J303" s="30">
        <f t="shared" si="3"/>
        <v>70</v>
      </c>
      <c r="K303" s="8"/>
      <c r="L303" s="8"/>
      <c r="M303" s="8"/>
      <c r="N303" s="8"/>
    </row>
    <row r="304" spans="1:14" ht="15.4" customHeight="1" thickBot="1" x14ac:dyDescent="0.25">
      <c r="A304" s="8"/>
      <c r="B304" s="8"/>
      <c r="C304" s="8"/>
      <c r="D304" s="26"/>
      <c r="E304" s="6"/>
      <c r="F304" s="4">
        <v>1</v>
      </c>
      <c r="G304" s="22">
        <v>110</v>
      </c>
      <c r="H304" s="22"/>
      <c r="I304" s="22"/>
      <c r="J304" s="30">
        <f t="shared" si="3"/>
        <v>110</v>
      </c>
      <c r="K304" s="8"/>
      <c r="L304" s="8"/>
      <c r="M304" s="8"/>
      <c r="N304" s="8"/>
    </row>
    <row r="305" spans="1:14" ht="15.4" customHeight="1" thickBot="1" x14ac:dyDescent="0.25">
      <c r="A305" s="8"/>
      <c r="B305" s="8"/>
      <c r="C305" s="8"/>
      <c r="D305" s="26"/>
      <c r="E305" s="6" t="s">
        <v>718</v>
      </c>
      <c r="F305" s="4">
        <v>17</v>
      </c>
      <c r="G305" s="22">
        <v>3</v>
      </c>
      <c r="H305" s="22"/>
      <c r="I305" s="22"/>
      <c r="J305" s="30">
        <f t="shared" si="3"/>
        <v>51</v>
      </c>
      <c r="K305" s="8"/>
      <c r="L305" s="8"/>
      <c r="M305" s="8"/>
      <c r="N305" s="8"/>
    </row>
    <row r="306" spans="1:14" ht="15.4" customHeight="1" thickBot="1" x14ac:dyDescent="0.25">
      <c r="A306" s="8"/>
      <c r="B306" s="8"/>
      <c r="C306" s="8"/>
      <c r="D306" s="26"/>
      <c r="E306" s="6"/>
      <c r="F306" s="4">
        <v>2</v>
      </c>
      <c r="G306" s="22">
        <v>4</v>
      </c>
      <c r="H306" s="22"/>
      <c r="I306" s="22"/>
      <c r="J306" s="30">
        <f t="shared" si="3"/>
        <v>8</v>
      </c>
      <c r="K306" s="8"/>
      <c r="L306" s="8"/>
      <c r="M306" s="8"/>
      <c r="N306" s="8"/>
    </row>
    <row r="307" spans="1:14" ht="15.4" customHeight="1" thickBot="1" x14ac:dyDescent="0.25">
      <c r="A307" s="8"/>
      <c r="B307" s="8"/>
      <c r="C307" s="8"/>
      <c r="D307" s="26"/>
      <c r="E307" s="6" t="s">
        <v>719</v>
      </c>
      <c r="F307" s="4">
        <v>1</v>
      </c>
      <c r="G307" s="22">
        <v>95</v>
      </c>
      <c r="H307" s="22"/>
      <c r="I307" s="22"/>
      <c r="J307" s="30">
        <f t="shared" si="3"/>
        <v>95</v>
      </c>
      <c r="K307" s="8"/>
      <c r="L307" s="8"/>
      <c r="M307" s="8"/>
      <c r="N307" s="8"/>
    </row>
    <row r="308" spans="1:14" ht="30.95" customHeight="1" thickBot="1" x14ac:dyDescent="0.25">
      <c r="A308" s="8"/>
      <c r="B308" s="8"/>
      <c r="C308" s="8"/>
      <c r="D308" s="26"/>
      <c r="E308" s="6" t="s">
        <v>720</v>
      </c>
      <c r="F308" s="4">
        <v>1</v>
      </c>
      <c r="G308" s="22">
        <v>110</v>
      </c>
      <c r="H308" s="22"/>
      <c r="I308" s="22"/>
      <c r="J308" s="30">
        <f t="shared" si="3"/>
        <v>110</v>
      </c>
      <c r="K308" s="8"/>
      <c r="L308" s="8"/>
      <c r="M308" s="8"/>
      <c r="N308" s="8"/>
    </row>
    <row r="309" spans="1:14" ht="15.4" customHeight="1" thickBot="1" x14ac:dyDescent="0.25">
      <c r="A309" s="8"/>
      <c r="B309" s="8"/>
      <c r="C309" s="8"/>
      <c r="D309" s="26"/>
      <c r="E309" s="6" t="s">
        <v>721</v>
      </c>
      <c r="F309" s="4">
        <v>2</v>
      </c>
      <c r="G309" s="22">
        <v>3</v>
      </c>
      <c r="H309" s="22"/>
      <c r="I309" s="22"/>
      <c r="J309" s="30">
        <f t="shared" si="3"/>
        <v>6</v>
      </c>
      <c r="K309" s="8"/>
      <c r="L309" s="8"/>
      <c r="M309" s="8"/>
      <c r="N309" s="8"/>
    </row>
    <row r="310" spans="1:14" ht="15.4" customHeight="1" thickBot="1" x14ac:dyDescent="0.25">
      <c r="A310" s="8"/>
      <c r="B310" s="8"/>
      <c r="C310" s="8"/>
      <c r="D310" s="26"/>
      <c r="E310" s="6" t="s">
        <v>722</v>
      </c>
      <c r="F310" s="4">
        <v>1</v>
      </c>
      <c r="G310" s="22">
        <v>13</v>
      </c>
      <c r="H310" s="22"/>
      <c r="I310" s="22"/>
      <c r="J310" s="30">
        <f t="shared" si="3"/>
        <v>13</v>
      </c>
      <c r="K310" s="8"/>
      <c r="L310" s="8"/>
      <c r="M310" s="8"/>
      <c r="N310" s="8"/>
    </row>
    <row r="311" spans="1:14" ht="15.4" customHeight="1" thickBot="1" x14ac:dyDescent="0.25">
      <c r="A311" s="8"/>
      <c r="B311" s="8"/>
      <c r="C311" s="8"/>
      <c r="D311" s="26"/>
      <c r="E311" s="6" t="s">
        <v>723</v>
      </c>
      <c r="F311" s="4">
        <v>1</v>
      </c>
      <c r="G311" s="22">
        <v>50</v>
      </c>
      <c r="H311" s="22"/>
      <c r="I311" s="22"/>
      <c r="J311" s="30">
        <f t="shared" si="3"/>
        <v>50</v>
      </c>
      <c r="K311" s="8"/>
      <c r="L311" s="8"/>
      <c r="M311" s="8"/>
      <c r="N311" s="8"/>
    </row>
    <row r="312" spans="1:14" ht="15.4" customHeight="1" thickBot="1" x14ac:dyDescent="0.25">
      <c r="A312" s="8"/>
      <c r="B312" s="8"/>
      <c r="C312" s="8"/>
      <c r="D312" s="26"/>
      <c r="E312" s="6" t="s">
        <v>724</v>
      </c>
      <c r="F312" s="4">
        <v>3</v>
      </c>
      <c r="G312" s="22">
        <v>3</v>
      </c>
      <c r="H312" s="22"/>
      <c r="I312" s="22"/>
      <c r="J312" s="30">
        <f t="shared" si="3"/>
        <v>9</v>
      </c>
      <c r="K312" s="8"/>
      <c r="L312" s="8"/>
      <c r="M312" s="8"/>
      <c r="N312" s="8"/>
    </row>
    <row r="313" spans="1:14" ht="15.4" customHeight="1" thickBot="1" x14ac:dyDescent="0.25">
      <c r="A313" s="8"/>
      <c r="B313" s="8"/>
      <c r="C313" s="8"/>
      <c r="D313" s="26"/>
      <c r="E313" s="6" t="s">
        <v>725</v>
      </c>
      <c r="F313" s="4">
        <v>1</v>
      </c>
      <c r="G313" s="22">
        <v>26</v>
      </c>
      <c r="H313" s="22"/>
      <c r="I313" s="22"/>
      <c r="J313" s="30">
        <f t="shared" si="3"/>
        <v>26</v>
      </c>
      <c r="K313" s="8"/>
      <c r="L313" s="8"/>
      <c r="M313" s="8"/>
      <c r="N313" s="8"/>
    </row>
    <row r="314" spans="1:14" ht="15.4" customHeight="1" thickBot="1" x14ac:dyDescent="0.25">
      <c r="A314" s="8"/>
      <c r="B314" s="8"/>
      <c r="C314" s="8"/>
      <c r="D314" s="26"/>
      <c r="E314" s="6" t="s">
        <v>726</v>
      </c>
      <c r="F314" s="4">
        <v>2</v>
      </c>
      <c r="G314" s="22">
        <v>3</v>
      </c>
      <c r="H314" s="22"/>
      <c r="I314" s="22"/>
      <c r="J314" s="30">
        <f t="shared" si="3"/>
        <v>6</v>
      </c>
      <c r="K314" s="8"/>
      <c r="L314" s="8"/>
      <c r="M314" s="8"/>
      <c r="N314" s="8"/>
    </row>
    <row r="315" spans="1:14" ht="21.6" customHeight="1" thickBot="1" x14ac:dyDescent="0.25">
      <c r="A315" s="8"/>
      <c r="B315" s="8"/>
      <c r="C315" s="8"/>
      <c r="D315" s="26"/>
      <c r="E315" s="6" t="s">
        <v>727</v>
      </c>
      <c r="F315" s="4">
        <v>2</v>
      </c>
      <c r="G315" s="22">
        <v>20</v>
      </c>
      <c r="H315" s="22"/>
      <c r="I315" s="22"/>
      <c r="J315" s="30">
        <f t="shared" si="3"/>
        <v>40</v>
      </c>
      <c r="K315" s="32">
        <f>SUM(J302:J315)</f>
        <v>624.5</v>
      </c>
      <c r="L315" s="8"/>
      <c r="M315" s="8"/>
      <c r="N315" s="8"/>
    </row>
    <row r="316" spans="1:14" ht="15.4" customHeight="1" thickBot="1" x14ac:dyDescent="0.25">
      <c r="A316" s="12" t="s">
        <v>728</v>
      </c>
      <c r="B316" s="6" t="s">
        <v>729</v>
      </c>
      <c r="C316" s="6" t="s">
        <v>730</v>
      </c>
      <c r="D316" s="60" t="s">
        <v>731</v>
      </c>
      <c r="E316" s="60"/>
      <c r="F316" s="60"/>
      <c r="G316" s="60"/>
      <c r="H316" s="60"/>
      <c r="I316" s="60"/>
      <c r="J316" s="60"/>
      <c r="K316" s="22">
        <f>SUM(K319:K319)</f>
        <v>485</v>
      </c>
      <c r="L316" s="22">
        <f>ROUND(111.34*(1+M2/100),2)</f>
        <v>111.34</v>
      </c>
      <c r="M316" s="22">
        <f>ROUND(K316*L316,2)</f>
        <v>53999.9</v>
      </c>
      <c r="N316" s="8"/>
    </row>
    <row r="317" spans="1:14" ht="162" customHeight="1" thickBot="1" x14ac:dyDescent="0.25">
      <c r="A317" s="8"/>
      <c r="B317" s="8"/>
      <c r="C317" s="8"/>
      <c r="D317" s="60" t="s">
        <v>732</v>
      </c>
      <c r="E317" s="60"/>
      <c r="F317" s="60"/>
      <c r="G317" s="60"/>
      <c r="H317" s="60"/>
      <c r="I317" s="60"/>
      <c r="J317" s="60"/>
      <c r="K317" s="60"/>
      <c r="L317" s="60"/>
      <c r="M317" s="60"/>
      <c r="N317" s="8"/>
    </row>
    <row r="318" spans="1:14" ht="15.4" customHeight="1" thickBot="1" x14ac:dyDescent="0.25">
      <c r="A318" s="8"/>
      <c r="B318" s="8"/>
      <c r="C318" s="8"/>
      <c r="D318" s="8"/>
      <c r="E318" s="23"/>
      <c r="F318" s="25" t="s">
        <v>733</v>
      </c>
      <c r="G318" s="25" t="s">
        <v>734</v>
      </c>
      <c r="H318" s="25" t="s">
        <v>735</v>
      </c>
      <c r="I318" s="25" t="s">
        <v>736</v>
      </c>
      <c r="J318" s="25" t="s">
        <v>737</v>
      </c>
      <c r="K318" s="25" t="s">
        <v>738</v>
      </c>
      <c r="L318" s="8"/>
      <c r="M318" s="8"/>
      <c r="N318" s="8"/>
    </row>
    <row r="319" spans="1:14" ht="21.6" customHeight="1" thickBot="1" x14ac:dyDescent="0.25">
      <c r="A319" s="8"/>
      <c r="B319" s="8"/>
      <c r="C319" s="8"/>
      <c r="D319" s="26"/>
      <c r="E319" s="27" t="s">
        <v>739</v>
      </c>
      <c r="F319" s="28">
        <v>1</v>
      </c>
      <c r="G319" s="29">
        <v>485</v>
      </c>
      <c r="H319" s="29"/>
      <c r="I319" s="29"/>
      <c r="J319" s="31">
        <f>ROUND(F319*G319,2)</f>
        <v>485</v>
      </c>
      <c r="K319" s="33">
        <f>SUM(J319:J319)</f>
        <v>485</v>
      </c>
      <c r="L319" s="8"/>
      <c r="M319" s="8"/>
      <c r="N319" s="8"/>
    </row>
    <row r="320" spans="1:14" ht="15.4" customHeight="1" thickBot="1" x14ac:dyDescent="0.25">
      <c r="A320" s="12" t="s">
        <v>740</v>
      </c>
      <c r="B320" s="6" t="s">
        <v>741</v>
      </c>
      <c r="C320" s="6" t="s">
        <v>742</v>
      </c>
      <c r="D320" s="60" t="s">
        <v>743</v>
      </c>
      <c r="E320" s="60"/>
      <c r="F320" s="60"/>
      <c r="G320" s="60"/>
      <c r="H320" s="60"/>
      <c r="I320" s="60"/>
      <c r="J320" s="60"/>
      <c r="K320" s="22">
        <f>SUM(K323:K325)</f>
        <v>1224.3</v>
      </c>
      <c r="L320" s="22">
        <f>ROUND(47.3*(1+M2/100),2)</f>
        <v>47.3</v>
      </c>
      <c r="M320" s="22">
        <f>ROUND(K320*L320,2)</f>
        <v>57909.39</v>
      </c>
      <c r="N320" s="8"/>
    </row>
    <row r="321" spans="1:14" ht="199.35" customHeight="1" thickBot="1" x14ac:dyDescent="0.25">
      <c r="A321" s="8"/>
      <c r="B321" s="8"/>
      <c r="C321" s="8"/>
      <c r="D321" s="60" t="s">
        <v>744</v>
      </c>
      <c r="E321" s="60"/>
      <c r="F321" s="60"/>
      <c r="G321" s="60"/>
      <c r="H321" s="60"/>
      <c r="I321" s="60"/>
      <c r="J321" s="60"/>
      <c r="K321" s="60"/>
      <c r="L321" s="60"/>
      <c r="M321" s="60"/>
      <c r="N321" s="8"/>
    </row>
    <row r="322" spans="1:14" ht="15.4" customHeight="1" thickBot="1" x14ac:dyDescent="0.25">
      <c r="A322" s="8"/>
      <c r="B322" s="8"/>
      <c r="C322" s="8"/>
      <c r="D322" s="8"/>
      <c r="E322" s="23"/>
      <c r="F322" s="25" t="s">
        <v>745</v>
      </c>
      <c r="G322" s="25" t="s">
        <v>746</v>
      </c>
      <c r="H322" s="25" t="s">
        <v>747</v>
      </c>
      <c r="I322" s="25" t="s">
        <v>748</v>
      </c>
      <c r="J322" s="25" t="s">
        <v>749</v>
      </c>
      <c r="K322" s="25" t="s">
        <v>750</v>
      </c>
      <c r="L322" s="8"/>
      <c r="M322" s="8"/>
      <c r="N322" s="8"/>
    </row>
    <row r="323" spans="1:14" ht="21.6" customHeight="1" thickBot="1" x14ac:dyDescent="0.25">
      <c r="A323" s="8"/>
      <c r="B323" s="8"/>
      <c r="C323" s="8"/>
      <c r="D323" s="26"/>
      <c r="E323" s="27" t="s">
        <v>751</v>
      </c>
      <c r="F323" s="28">
        <v>1</v>
      </c>
      <c r="G323" s="29">
        <v>250</v>
      </c>
      <c r="H323" s="29"/>
      <c r="I323" s="29">
        <v>3.85</v>
      </c>
      <c r="J323" s="31">
        <f>ROUND(F323*G323*I323,2)</f>
        <v>962.5</v>
      </c>
      <c r="K323" s="35"/>
      <c r="L323" s="8"/>
      <c r="M323" s="8"/>
      <c r="N323" s="8"/>
    </row>
    <row r="324" spans="1:14" ht="15.4" customHeight="1" thickBot="1" x14ac:dyDescent="0.25">
      <c r="A324" s="8"/>
      <c r="B324" s="8"/>
      <c r="C324" s="8"/>
      <c r="D324" s="26"/>
      <c r="E324" s="6" t="s">
        <v>752</v>
      </c>
      <c r="F324" s="4">
        <v>28</v>
      </c>
      <c r="G324" s="22">
        <v>2</v>
      </c>
      <c r="H324" s="22"/>
      <c r="I324" s="22">
        <v>3.85</v>
      </c>
      <c r="J324" s="30">
        <f>ROUND(F324*G324*I324,2)</f>
        <v>215.6</v>
      </c>
      <c r="K324" s="8"/>
      <c r="L324" s="8"/>
      <c r="M324" s="8"/>
      <c r="N324" s="8"/>
    </row>
    <row r="325" spans="1:14" ht="15.4" customHeight="1" thickBot="1" x14ac:dyDescent="0.25">
      <c r="A325" s="8"/>
      <c r="B325" s="8"/>
      <c r="C325" s="8"/>
      <c r="D325" s="26"/>
      <c r="E325" s="6" t="s">
        <v>753</v>
      </c>
      <c r="F325" s="4">
        <v>4</v>
      </c>
      <c r="G325" s="22">
        <v>3</v>
      </c>
      <c r="H325" s="22"/>
      <c r="I325" s="22">
        <v>3.85</v>
      </c>
      <c r="J325" s="30">
        <f>ROUND(F325*G325*I325,2)</f>
        <v>46.2</v>
      </c>
      <c r="K325" s="32">
        <f>SUM(J323:J325)</f>
        <v>1224.3</v>
      </c>
      <c r="L325" s="8"/>
      <c r="M325" s="8"/>
      <c r="N325" s="8"/>
    </row>
    <row r="326" spans="1:14" ht="15.4" customHeight="1" thickBot="1" x14ac:dyDescent="0.25">
      <c r="A326" s="12" t="s">
        <v>754</v>
      </c>
      <c r="B326" s="6" t="s">
        <v>755</v>
      </c>
      <c r="C326" s="6" t="s">
        <v>756</v>
      </c>
      <c r="D326" s="60" t="s">
        <v>757</v>
      </c>
      <c r="E326" s="60"/>
      <c r="F326" s="60"/>
      <c r="G326" s="60"/>
      <c r="H326" s="60"/>
      <c r="I326" s="60"/>
      <c r="J326" s="60"/>
      <c r="K326" s="22">
        <f>SUM(K329:K334)</f>
        <v>281.04999999999995</v>
      </c>
      <c r="L326" s="22">
        <f>ROUND(59.26*(1+M2/100),2)</f>
        <v>59.26</v>
      </c>
      <c r="M326" s="22">
        <f>ROUND(K326*L326,2)</f>
        <v>16655.02</v>
      </c>
      <c r="N326" s="8"/>
    </row>
    <row r="327" spans="1:14" ht="199.35" customHeight="1" thickBot="1" x14ac:dyDescent="0.25">
      <c r="A327" s="8"/>
      <c r="B327" s="8"/>
      <c r="C327" s="8"/>
      <c r="D327" s="60" t="s">
        <v>758</v>
      </c>
      <c r="E327" s="60"/>
      <c r="F327" s="60"/>
      <c r="G327" s="60"/>
      <c r="H327" s="60"/>
      <c r="I327" s="60"/>
      <c r="J327" s="60"/>
      <c r="K327" s="60"/>
      <c r="L327" s="60"/>
      <c r="M327" s="60"/>
      <c r="N327" s="8"/>
    </row>
    <row r="328" spans="1:14" ht="15.4" customHeight="1" thickBot="1" x14ac:dyDescent="0.25">
      <c r="A328" s="8"/>
      <c r="B328" s="8"/>
      <c r="C328" s="8"/>
      <c r="D328" s="8"/>
      <c r="E328" s="23"/>
      <c r="F328" s="25" t="s">
        <v>759</v>
      </c>
      <c r="G328" s="25" t="s">
        <v>760</v>
      </c>
      <c r="H328" s="25" t="s">
        <v>761</v>
      </c>
      <c r="I328" s="25" t="s">
        <v>762</v>
      </c>
      <c r="J328" s="25" t="s">
        <v>763</v>
      </c>
      <c r="K328" s="25" t="s">
        <v>764</v>
      </c>
      <c r="L328" s="8"/>
      <c r="M328" s="8"/>
      <c r="N328" s="8"/>
    </row>
    <row r="329" spans="1:14" ht="15.4" customHeight="1" thickBot="1" x14ac:dyDescent="0.25">
      <c r="A329" s="8"/>
      <c r="B329" s="8"/>
      <c r="C329" s="8"/>
      <c r="D329" s="26"/>
      <c r="E329" s="27" t="s">
        <v>765</v>
      </c>
      <c r="F329" s="28">
        <v>1</v>
      </c>
      <c r="G329" s="29">
        <v>15</v>
      </c>
      <c r="H329" s="29"/>
      <c r="I329" s="29">
        <v>3.85</v>
      </c>
      <c r="J329" s="31">
        <f t="shared" ref="J329:J334" si="4">ROUND(F329*G329*I329,2)</f>
        <v>57.75</v>
      </c>
      <c r="K329" s="35"/>
      <c r="L329" s="8"/>
      <c r="M329" s="8"/>
      <c r="N329" s="8"/>
    </row>
    <row r="330" spans="1:14" ht="15.4" customHeight="1" thickBot="1" x14ac:dyDescent="0.25">
      <c r="A330" s="8"/>
      <c r="B330" s="8"/>
      <c r="C330" s="8"/>
      <c r="D330" s="26"/>
      <c r="E330" s="6"/>
      <c r="F330" s="4">
        <v>2</v>
      </c>
      <c r="G330" s="22">
        <v>2</v>
      </c>
      <c r="H330" s="22"/>
      <c r="I330" s="22">
        <v>3.85</v>
      </c>
      <c r="J330" s="30">
        <f t="shared" si="4"/>
        <v>15.4</v>
      </c>
      <c r="K330" s="8"/>
      <c r="L330" s="8"/>
      <c r="M330" s="8"/>
      <c r="N330" s="8"/>
    </row>
    <row r="331" spans="1:14" ht="15.4" customHeight="1" thickBot="1" x14ac:dyDescent="0.25">
      <c r="A331" s="8"/>
      <c r="B331" s="8"/>
      <c r="C331" s="8"/>
      <c r="D331" s="26"/>
      <c r="E331" s="6" t="s">
        <v>766</v>
      </c>
      <c r="F331" s="4">
        <v>1</v>
      </c>
      <c r="G331" s="22">
        <v>25</v>
      </c>
      <c r="H331" s="22"/>
      <c r="I331" s="22">
        <v>3.85</v>
      </c>
      <c r="J331" s="30">
        <f t="shared" si="4"/>
        <v>96.25</v>
      </c>
      <c r="K331" s="8"/>
      <c r="L331" s="8"/>
      <c r="M331" s="8"/>
      <c r="N331" s="8"/>
    </row>
    <row r="332" spans="1:14" ht="15.4" customHeight="1" thickBot="1" x14ac:dyDescent="0.25">
      <c r="A332" s="8"/>
      <c r="B332" s="8"/>
      <c r="C332" s="8"/>
      <c r="D332" s="26"/>
      <c r="E332" s="6" t="s">
        <v>767</v>
      </c>
      <c r="F332" s="4">
        <v>5</v>
      </c>
      <c r="G332" s="22">
        <v>2</v>
      </c>
      <c r="H332" s="22"/>
      <c r="I332" s="22">
        <v>3.85</v>
      </c>
      <c r="J332" s="30">
        <f t="shared" si="4"/>
        <v>38.5</v>
      </c>
      <c r="K332" s="8"/>
      <c r="L332" s="8"/>
      <c r="M332" s="8"/>
      <c r="N332" s="8"/>
    </row>
    <row r="333" spans="1:14" ht="15.4" customHeight="1" thickBot="1" x14ac:dyDescent="0.25">
      <c r="A333" s="8"/>
      <c r="B333" s="8"/>
      <c r="C333" s="8"/>
      <c r="D333" s="26"/>
      <c r="E333" s="6" t="s">
        <v>768</v>
      </c>
      <c r="F333" s="4">
        <v>1</v>
      </c>
      <c r="G333" s="22">
        <v>15</v>
      </c>
      <c r="H333" s="22"/>
      <c r="I333" s="22">
        <v>3.85</v>
      </c>
      <c r="J333" s="30">
        <f t="shared" si="4"/>
        <v>57.75</v>
      </c>
      <c r="K333" s="8"/>
      <c r="L333" s="8"/>
      <c r="M333" s="8"/>
      <c r="N333" s="8"/>
    </row>
    <row r="334" spans="1:14" ht="15.4" customHeight="1" thickBot="1" x14ac:dyDescent="0.25">
      <c r="A334" s="8"/>
      <c r="B334" s="8"/>
      <c r="C334" s="8"/>
      <c r="D334" s="26"/>
      <c r="E334" s="6" t="s">
        <v>769</v>
      </c>
      <c r="F334" s="4">
        <v>2</v>
      </c>
      <c r="G334" s="22">
        <v>2</v>
      </c>
      <c r="H334" s="22"/>
      <c r="I334" s="22">
        <v>3.85</v>
      </c>
      <c r="J334" s="30">
        <f t="shared" si="4"/>
        <v>15.4</v>
      </c>
      <c r="K334" s="32">
        <f>SUM(J329:J334)</f>
        <v>281.04999999999995</v>
      </c>
      <c r="L334" s="8"/>
      <c r="M334" s="8"/>
      <c r="N334" s="8"/>
    </row>
    <row r="335" spans="1:14" ht="15.4" customHeight="1" thickBot="1" x14ac:dyDescent="0.25">
      <c r="A335" s="12" t="s">
        <v>770</v>
      </c>
      <c r="B335" s="6" t="s">
        <v>771</v>
      </c>
      <c r="C335" s="6" t="s">
        <v>772</v>
      </c>
      <c r="D335" s="60" t="s">
        <v>773</v>
      </c>
      <c r="E335" s="60"/>
      <c r="F335" s="60"/>
      <c r="G335" s="60"/>
      <c r="H335" s="60"/>
      <c r="I335" s="60"/>
      <c r="J335" s="60"/>
      <c r="K335" s="22">
        <f>SUM(K338:K341)</f>
        <v>163.63</v>
      </c>
      <c r="L335" s="22">
        <f>ROUND(63.66*(1+M2/100),2)</f>
        <v>63.66</v>
      </c>
      <c r="M335" s="22">
        <f>ROUND(K335*L335,2)</f>
        <v>10416.69</v>
      </c>
      <c r="N335" s="8"/>
    </row>
    <row r="336" spans="1:14" ht="77.849999999999994" customHeight="1" thickBot="1" x14ac:dyDescent="0.25">
      <c r="A336" s="8"/>
      <c r="B336" s="8"/>
      <c r="C336" s="8"/>
      <c r="D336" s="60" t="s">
        <v>774</v>
      </c>
      <c r="E336" s="60"/>
      <c r="F336" s="60"/>
      <c r="G336" s="60"/>
      <c r="H336" s="60"/>
      <c r="I336" s="60"/>
      <c r="J336" s="60"/>
      <c r="K336" s="60"/>
      <c r="L336" s="60"/>
      <c r="M336" s="60"/>
      <c r="N336" s="8"/>
    </row>
    <row r="337" spans="1:14" ht="15.4" customHeight="1" thickBot="1" x14ac:dyDescent="0.25">
      <c r="A337" s="8"/>
      <c r="B337" s="8"/>
      <c r="C337" s="8"/>
      <c r="D337" s="8"/>
      <c r="E337" s="23"/>
      <c r="F337" s="25" t="s">
        <v>775</v>
      </c>
      <c r="G337" s="25" t="s">
        <v>776</v>
      </c>
      <c r="H337" s="25" t="s">
        <v>777</v>
      </c>
      <c r="I337" s="25" t="s">
        <v>778</v>
      </c>
      <c r="J337" s="25" t="s">
        <v>779</v>
      </c>
      <c r="K337" s="25" t="s">
        <v>780</v>
      </c>
      <c r="L337" s="8"/>
      <c r="M337" s="8"/>
      <c r="N337" s="8"/>
    </row>
    <row r="338" spans="1:14" ht="21.6" customHeight="1" thickBot="1" x14ac:dyDescent="0.25">
      <c r="A338" s="8"/>
      <c r="B338" s="8"/>
      <c r="C338" s="8"/>
      <c r="D338" s="26"/>
      <c r="E338" s="27" t="s">
        <v>781</v>
      </c>
      <c r="F338" s="28"/>
      <c r="G338" s="29"/>
      <c r="H338" s="29"/>
      <c r="I338" s="29"/>
      <c r="J338" s="34" t="s">
        <v>782</v>
      </c>
      <c r="K338" s="35"/>
      <c r="L338" s="8"/>
      <c r="M338" s="8"/>
      <c r="N338" s="8"/>
    </row>
    <row r="339" spans="1:14" ht="15.4" customHeight="1" thickBot="1" x14ac:dyDescent="0.25">
      <c r="A339" s="8"/>
      <c r="B339" s="8"/>
      <c r="C339" s="8"/>
      <c r="D339" s="26"/>
      <c r="E339" s="6" t="s">
        <v>783</v>
      </c>
      <c r="F339" s="4">
        <v>1</v>
      </c>
      <c r="G339" s="22">
        <v>22</v>
      </c>
      <c r="H339" s="22"/>
      <c r="I339" s="22">
        <v>3.85</v>
      </c>
      <c r="J339" s="30">
        <f>ROUND(F339*G339*I339,2)</f>
        <v>84.7</v>
      </c>
      <c r="K339" s="8"/>
      <c r="L339" s="8"/>
      <c r="M339" s="8"/>
      <c r="N339" s="8"/>
    </row>
    <row r="340" spans="1:14" ht="15.4" customHeight="1" thickBot="1" x14ac:dyDescent="0.25">
      <c r="A340" s="8"/>
      <c r="B340" s="8"/>
      <c r="C340" s="8"/>
      <c r="D340" s="26"/>
      <c r="E340" s="6" t="s">
        <v>784</v>
      </c>
      <c r="F340" s="4">
        <v>1</v>
      </c>
      <c r="G340" s="22">
        <v>5.5</v>
      </c>
      <c r="H340" s="22"/>
      <c r="I340" s="22">
        <v>3.85</v>
      </c>
      <c r="J340" s="30">
        <f>ROUND(F340*G340*I340,2)</f>
        <v>21.18</v>
      </c>
      <c r="K340" s="8"/>
      <c r="L340" s="8"/>
      <c r="M340" s="8"/>
      <c r="N340" s="8"/>
    </row>
    <row r="341" spans="1:14" ht="15.4" customHeight="1" thickBot="1" x14ac:dyDescent="0.25">
      <c r="A341" s="8"/>
      <c r="B341" s="8"/>
      <c r="C341" s="8"/>
      <c r="D341" s="26"/>
      <c r="E341" s="6" t="s">
        <v>785</v>
      </c>
      <c r="F341" s="4">
        <v>1</v>
      </c>
      <c r="G341" s="22">
        <v>15</v>
      </c>
      <c r="H341" s="22"/>
      <c r="I341" s="22">
        <v>3.85</v>
      </c>
      <c r="J341" s="30">
        <f>ROUND(F341*G341*I341,2)</f>
        <v>57.75</v>
      </c>
      <c r="K341" s="32">
        <f>SUM(J338:J341)</f>
        <v>163.63</v>
      </c>
      <c r="L341" s="8"/>
      <c r="M341" s="8"/>
      <c r="N341" s="8"/>
    </row>
    <row r="342" spans="1:14" ht="15.4" customHeight="1" thickBot="1" x14ac:dyDescent="0.25">
      <c r="A342" s="12" t="s">
        <v>786</v>
      </c>
      <c r="B342" s="6" t="s">
        <v>787</v>
      </c>
      <c r="C342" s="6" t="s">
        <v>788</v>
      </c>
      <c r="D342" s="60" t="s">
        <v>789</v>
      </c>
      <c r="E342" s="60"/>
      <c r="F342" s="60"/>
      <c r="G342" s="60"/>
      <c r="H342" s="60"/>
      <c r="I342" s="60"/>
      <c r="J342" s="60"/>
      <c r="K342" s="22">
        <f>SUM(K345:K345)</f>
        <v>950</v>
      </c>
      <c r="L342" s="22">
        <f>ROUND(52.59*(1+M2/100),2)</f>
        <v>52.59</v>
      </c>
      <c r="M342" s="22">
        <f>ROUND(K342*L342,2)</f>
        <v>49960.5</v>
      </c>
      <c r="N342" s="8"/>
    </row>
    <row r="343" spans="1:14" ht="190.15" customHeight="1" thickBot="1" x14ac:dyDescent="0.25">
      <c r="A343" s="8"/>
      <c r="B343" s="8"/>
      <c r="C343" s="8"/>
      <c r="D343" s="60" t="s">
        <v>790</v>
      </c>
      <c r="E343" s="60"/>
      <c r="F343" s="60"/>
      <c r="G343" s="60"/>
      <c r="H343" s="60"/>
      <c r="I343" s="60"/>
      <c r="J343" s="60"/>
      <c r="K343" s="60"/>
      <c r="L343" s="60"/>
      <c r="M343" s="60"/>
      <c r="N343" s="8"/>
    </row>
    <row r="344" spans="1:14" ht="15.4" customHeight="1" thickBot="1" x14ac:dyDescent="0.25">
      <c r="A344" s="8"/>
      <c r="B344" s="8"/>
      <c r="C344" s="8"/>
      <c r="D344" s="8"/>
      <c r="E344" s="23"/>
      <c r="F344" s="25" t="s">
        <v>791</v>
      </c>
      <c r="G344" s="25" t="s">
        <v>792</v>
      </c>
      <c r="H344" s="25" t="s">
        <v>793</v>
      </c>
      <c r="I344" s="25" t="s">
        <v>794</v>
      </c>
      <c r="J344" s="25" t="s">
        <v>795</v>
      </c>
      <c r="K344" s="25" t="s">
        <v>796</v>
      </c>
      <c r="L344" s="8"/>
      <c r="M344" s="8"/>
      <c r="N344" s="8"/>
    </row>
    <row r="345" spans="1:14" ht="15.4" customHeight="1" thickBot="1" x14ac:dyDescent="0.25">
      <c r="A345" s="8"/>
      <c r="B345" s="8"/>
      <c r="C345" s="8"/>
      <c r="D345" s="26"/>
      <c r="E345" s="27" t="s">
        <v>797</v>
      </c>
      <c r="F345" s="28">
        <v>1</v>
      </c>
      <c r="G345" s="29">
        <v>950</v>
      </c>
      <c r="H345" s="29"/>
      <c r="I345" s="29"/>
      <c r="J345" s="31">
        <f>ROUND(F345*G345,2)</f>
        <v>950</v>
      </c>
      <c r="K345" s="33">
        <f>SUM(J345:J345)</f>
        <v>950</v>
      </c>
      <c r="L345" s="8"/>
      <c r="M345" s="8"/>
      <c r="N345" s="8"/>
    </row>
    <row r="346" spans="1:14" ht="15.4" customHeight="1" thickBot="1" x14ac:dyDescent="0.25">
      <c r="A346" s="12" t="s">
        <v>798</v>
      </c>
      <c r="B346" s="6" t="s">
        <v>799</v>
      </c>
      <c r="C346" s="6" t="s">
        <v>800</v>
      </c>
      <c r="D346" s="60" t="s">
        <v>801</v>
      </c>
      <c r="E346" s="60"/>
      <c r="F346" s="60"/>
      <c r="G346" s="60"/>
      <c r="H346" s="60"/>
      <c r="I346" s="60"/>
      <c r="J346" s="60"/>
      <c r="K346" s="22">
        <f>SUM(K349:K349)</f>
        <v>45</v>
      </c>
      <c r="L346" s="22">
        <f>ROUND(64.39*(1+M2/100),2)</f>
        <v>64.39</v>
      </c>
      <c r="M346" s="22">
        <f>ROUND(K346*L346,2)</f>
        <v>2897.55</v>
      </c>
      <c r="N346" s="8"/>
    </row>
    <row r="347" spans="1:14" ht="190.15" customHeight="1" thickBot="1" x14ac:dyDescent="0.25">
      <c r="A347" s="8"/>
      <c r="B347" s="8"/>
      <c r="C347" s="8"/>
      <c r="D347" s="60" t="s">
        <v>802</v>
      </c>
      <c r="E347" s="60"/>
      <c r="F347" s="60"/>
      <c r="G347" s="60"/>
      <c r="H347" s="60"/>
      <c r="I347" s="60"/>
      <c r="J347" s="60"/>
      <c r="K347" s="60"/>
      <c r="L347" s="60"/>
      <c r="M347" s="60"/>
      <c r="N347" s="8"/>
    </row>
    <row r="348" spans="1:14" ht="15.4" customHeight="1" thickBot="1" x14ac:dyDescent="0.25">
      <c r="A348" s="8"/>
      <c r="B348" s="8"/>
      <c r="C348" s="8"/>
      <c r="D348" s="8"/>
      <c r="E348" s="23"/>
      <c r="F348" s="25" t="s">
        <v>803</v>
      </c>
      <c r="G348" s="25" t="s">
        <v>804</v>
      </c>
      <c r="H348" s="25" t="s">
        <v>805</v>
      </c>
      <c r="I348" s="25" t="s">
        <v>806</v>
      </c>
      <c r="J348" s="25" t="s">
        <v>807</v>
      </c>
      <c r="K348" s="25" t="s">
        <v>808</v>
      </c>
      <c r="L348" s="8"/>
      <c r="M348" s="8"/>
      <c r="N348" s="8"/>
    </row>
    <row r="349" spans="1:14" ht="15.4" customHeight="1" thickBot="1" x14ac:dyDescent="0.25">
      <c r="A349" s="8"/>
      <c r="B349" s="8"/>
      <c r="C349" s="8"/>
      <c r="D349" s="26"/>
      <c r="E349" s="27" t="s">
        <v>809</v>
      </c>
      <c r="F349" s="28">
        <v>1</v>
      </c>
      <c r="G349" s="29">
        <v>45</v>
      </c>
      <c r="H349" s="29"/>
      <c r="I349" s="29"/>
      <c r="J349" s="31">
        <f>ROUND(F349*G349,2)</f>
        <v>45</v>
      </c>
      <c r="K349" s="33">
        <f>SUM(J349:J349)</f>
        <v>45</v>
      </c>
      <c r="L349" s="8"/>
      <c r="M349" s="8"/>
      <c r="N349" s="8"/>
    </row>
    <row r="350" spans="1:14" ht="15.4" customHeight="1" thickBot="1" x14ac:dyDescent="0.25">
      <c r="A350" s="12" t="s">
        <v>810</v>
      </c>
      <c r="B350" s="6" t="s">
        <v>811</v>
      </c>
      <c r="C350" s="6" t="s">
        <v>812</v>
      </c>
      <c r="D350" s="60" t="s">
        <v>813</v>
      </c>
      <c r="E350" s="60"/>
      <c r="F350" s="60"/>
      <c r="G350" s="60"/>
      <c r="H350" s="60"/>
      <c r="I350" s="60"/>
      <c r="J350" s="60"/>
      <c r="K350" s="22">
        <f>SUM(K353:K353)</f>
        <v>140</v>
      </c>
      <c r="L350" s="22">
        <f>ROUND(70.99*(1+M2/100),2)</f>
        <v>70.989999999999995</v>
      </c>
      <c r="M350" s="22">
        <f>ROUND(K350*L350,2)</f>
        <v>9938.6</v>
      </c>
      <c r="N350" s="8"/>
    </row>
    <row r="351" spans="1:14" ht="208.9" customHeight="1" thickBot="1" x14ac:dyDescent="0.25">
      <c r="A351" s="8"/>
      <c r="B351" s="8"/>
      <c r="C351" s="8"/>
      <c r="D351" s="60" t="s">
        <v>814</v>
      </c>
      <c r="E351" s="60"/>
      <c r="F351" s="60"/>
      <c r="G351" s="60"/>
      <c r="H351" s="60"/>
      <c r="I351" s="60"/>
      <c r="J351" s="60"/>
      <c r="K351" s="60"/>
      <c r="L351" s="60"/>
      <c r="M351" s="60"/>
      <c r="N351" s="8"/>
    </row>
    <row r="352" spans="1:14" ht="15.4" customHeight="1" thickBot="1" x14ac:dyDescent="0.25">
      <c r="A352" s="8"/>
      <c r="B352" s="8"/>
      <c r="C352" s="8"/>
      <c r="D352" s="8"/>
      <c r="E352" s="23"/>
      <c r="F352" s="25" t="s">
        <v>815</v>
      </c>
      <c r="G352" s="25" t="s">
        <v>816</v>
      </c>
      <c r="H352" s="25" t="s">
        <v>817</v>
      </c>
      <c r="I352" s="25" t="s">
        <v>818</v>
      </c>
      <c r="J352" s="25" t="s">
        <v>819</v>
      </c>
      <c r="K352" s="25" t="s">
        <v>820</v>
      </c>
      <c r="L352" s="8"/>
      <c r="M352" s="8"/>
      <c r="N352" s="8"/>
    </row>
    <row r="353" spans="1:14" ht="15.4" customHeight="1" thickBot="1" x14ac:dyDescent="0.25">
      <c r="A353" s="8"/>
      <c r="B353" s="8"/>
      <c r="C353" s="8"/>
      <c r="D353" s="26"/>
      <c r="E353" s="27" t="s">
        <v>821</v>
      </c>
      <c r="F353" s="28">
        <v>1</v>
      </c>
      <c r="G353" s="29">
        <v>140</v>
      </c>
      <c r="H353" s="29"/>
      <c r="I353" s="29"/>
      <c r="J353" s="31">
        <f>ROUND(F353*G353,2)</f>
        <v>140</v>
      </c>
      <c r="K353" s="33">
        <f>SUM(J353:J353)</f>
        <v>140</v>
      </c>
      <c r="L353" s="8"/>
      <c r="M353" s="8"/>
      <c r="N353" s="8"/>
    </row>
    <row r="354" spans="1:14" ht="24.75" customHeight="1" thickBot="1" x14ac:dyDescent="0.25">
      <c r="A354" s="12" t="s">
        <v>822</v>
      </c>
      <c r="B354" s="6" t="s">
        <v>823</v>
      </c>
      <c r="C354" s="6" t="s">
        <v>824</v>
      </c>
      <c r="D354" s="60" t="s">
        <v>825</v>
      </c>
      <c r="E354" s="60"/>
      <c r="F354" s="60"/>
      <c r="G354" s="60"/>
      <c r="H354" s="60"/>
      <c r="I354" s="60"/>
      <c r="J354" s="60"/>
      <c r="K354" s="22">
        <f>SUM(K357:K357)</f>
        <v>50</v>
      </c>
      <c r="L354" s="22">
        <f>ROUND(39.03*(1+M2/100),2)</f>
        <v>39.03</v>
      </c>
      <c r="M354" s="22">
        <f>ROUND(K354*L354,2)</f>
        <v>1951.5</v>
      </c>
      <c r="N354" s="8"/>
    </row>
    <row r="355" spans="1:14" ht="21.6" customHeight="1" thickBot="1" x14ac:dyDescent="0.25">
      <c r="A355" s="8"/>
      <c r="B355" s="8"/>
      <c r="C355" s="8"/>
      <c r="D355" s="60" t="s">
        <v>826</v>
      </c>
      <c r="E355" s="60"/>
      <c r="F355" s="60"/>
      <c r="G355" s="60"/>
      <c r="H355" s="60"/>
      <c r="I355" s="60"/>
      <c r="J355" s="60"/>
      <c r="K355" s="60"/>
      <c r="L355" s="60"/>
      <c r="M355" s="60"/>
      <c r="N355" s="8"/>
    </row>
    <row r="356" spans="1:14" ht="15.4" customHeight="1" thickBot="1" x14ac:dyDescent="0.25">
      <c r="A356" s="8"/>
      <c r="B356" s="8"/>
      <c r="C356" s="8"/>
      <c r="D356" s="8"/>
      <c r="E356" s="23"/>
      <c r="F356" s="25" t="s">
        <v>827</v>
      </c>
      <c r="G356" s="25" t="s">
        <v>828</v>
      </c>
      <c r="H356" s="25" t="s">
        <v>829</v>
      </c>
      <c r="I356" s="25" t="s">
        <v>830</v>
      </c>
      <c r="J356" s="25" t="s">
        <v>831</v>
      </c>
      <c r="K356" s="25" t="s">
        <v>832</v>
      </c>
      <c r="L356" s="8"/>
      <c r="M356" s="8"/>
      <c r="N356" s="8"/>
    </row>
    <row r="357" spans="1:14" ht="15.4" customHeight="1" thickBot="1" x14ac:dyDescent="0.25">
      <c r="A357" s="8"/>
      <c r="B357" s="8"/>
      <c r="C357" s="8"/>
      <c r="D357" s="26"/>
      <c r="E357" s="27" t="s">
        <v>833</v>
      </c>
      <c r="F357" s="28">
        <v>1</v>
      </c>
      <c r="G357" s="29">
        <v>50</v>
      </c>
      <c r="H357" s="29"/>
      <c r="I357" s="29"/>
      <c r="J357" s="31">
        <f>ROUND(F357*G357,2)</f>
        <v>50</v>
      </c>
      <c r="K357" s="33">
        <f>SUM(J357:J357)</f>
        <v>50</v>
      </c>
      <c r="L357" s="8"/>
      <c r="M357" s="8"/>
      <c r="N357" s="8"/>
    </row>
    <row r="358" spans="1:14" ht="15.4" customHeight="1" thickBot="1" x14ac:dyDescent="0.25">
      <c r="A358" s="12" t="s">
        <v>834</v>
      </c>
      <c r="B358" s="6" t="s">
        <v>835</v>
      </c>
      <c r="C358" s="6" t="s">
        <v>836</v>
      </c>
      <c r="D358" s="60" t="s">
        <v>837</v>
      </c>
      <c r="E358" s="60"/>
      <c r="F358" s="60"/>
      <c r="G358" s="60"/>
      <c r="H358" s="60"/>
      <c r="I358" s="60"/>
      <c r="J358" s="60"/>
      <c r="K358" s="22">
        <f>SUM(K361:K361)</f>
        <v>180</v>
      </c>
      <c r="L358" s="22">
        <f>ROUND(15.11*(1+M2/100),2)</f>
        <v>15.11</v>
      </c>
      <c r="M358" s="22">
        <f>ROUND(K358*L358,2)</f>
        <v>2719.8</v>
      </c>
      <c r="N358" s="8"/>
    </row>
    <row r="359" spans="1:14" ht="12.2" customHeight="1" thickBot="1" x14ac:dyDescent="0.25">
      <c r="A359" s="8"/>
      <c r="B359" s="8"/>
      <c r="C359" s="8"/>
      <c r="D359" s="60" t="s">
        <v>838</v>
      </c>
      <c r="E359" s="60"/>
      <c r="F359" s="60"/>
      <c r="G359" s="60"/>
      <c r="H359" s="60"/>
      <c r="I359" s="60"/>
      <c r="J359" s="60"/>
      <c r="K359" s="60"/>
      <c r="L359" s="60"/>
      <c r="M359" s="60"/>
      <c r="N359" s="8"/>
    </row>
    <row r="360" spans="1:14" ht="15.4" customHeight="1" thickBot="1" x14ac:dyDescent="0.25">
      <c r="A360" s="8"/>
      <c r="B360" s="8"/>
      <c r="C360" s="8"/>
      <c r="D360" s="8"/>
      <c r="E360" s="23"/>
      <c r="F360" s="25" t="s">
        <v>839</v>
      </c>
      <c r="G360" s="25" t="s">
        <v>840</v>
      </c>
      <c r="H360" s="25" t="s">
        <v>841</v>
      </c>
      <c r="I360" s="25" t="s">
        <v>842</v>
      </c>
      <c r="J360" s="25" t="s">
        <v>843</v>
      </c>
      <c r="K360" s="25" t="s">
        <v>844</v>
      </c>
      <c r="L360" s="8"/>
      <c r="M360" s="8"/>
      <c r="N360" s="8"/>
    </row>
    <row r="361" spans="1:14" ht="15.4" customHeight="1" thickBot="1" x14ac:dyDescent="0.25">
      <c r="A361" s="8"/>
      <c r="B361" s="8"/>
      <c r="C361" s="8"/>
      <c r="D361" s="26"/>
      <c r="E361" s="27" t="s">
        <v>845</v>
      </c>
      <c r="F361" s="28">
        <v>1</v>
      </c>
      <c r="G361" s="29">
        <v>180</v>
      </c>
      <c r="H361" s="29"/>
      <c r="I361" s="29"/>
      <c r="J361" s="31">
        <f>ROUND(F361*G361,2)</f>
        <v>180</v>
      </c>
      <c r="K361" s="33">
        <f>SUM(J361:J361)</f>
        <v>180</v>
      </c>
      <c r="L361" s="8"/>
      <c r="M361" s="8"/>
      <c r="N361" s="8"/>
    </row>
    <row r="362" spans="1:14" ht="15.4" customHeight="1" thickBot="1" x14ac:dyDescent="0.25">
      <c r="A362" s="12" t="s">
        <v>846</v>
      </c>
      <c r="B362" s="6" t="s">
        <v>847</v>
      </c>
      <c r="C362" s="6" t="s">
        <v>848</v>
      </c>
      <c r="D362" s="60" t="s">
        <v>849</v>
      </c>
      <c r="E362" s="60"/>
      <c r="F362" s="60"/>
      <c r="G362" s="60"/>
      <c r="H362" s="60"/>
      <c r="I362" s="60"/>
      <c r="J362" s="60"/>
      <c r="K362" s="22">
        <f>SUM(K365:K365)</f>
        <v>80</v>
      </c>
      <c r="L362" s="22">
        <f>ROUND(52.59*(1+M2/100),2)</f>
        <v>52.59</v>
      </c>
      <c r="M362" s="22">
        <f>ROUND(K362*L362,2)</f>
        <v>4207.2</v>
      </c>
      <c r="N362" s="8"/>
    </row>
    <row r="363" spans="1:14" ht="49.7" customHeight="1" thickBot="1" x14ac:dyDescent="0.25">
      <c r="A363" s="8"/>
      <c r="B363" s="8"/>
      <c r="C363" s="8"/>
      <c r="D363" s="60" t="s">
        <v>850</v>
      </c>
      <c r="E363" s="60"/>
      <c r="F363" s="60"/>
      <c r="G363" s="60"/>
      <c r="H363" s="60"/>
      <c r="I363" s="60"/>
      <c r="J363" s="60"/>
      <c r="K363" s="60"/>
      <c r="L363" s="60"/>
      <c r="M363" s="60"/>
      <c r="N363" s="8"/>
    </row>
    <row r="364" spans="1:14" ht="15.4" customHeight="1" thickBot="1" x14ac:dyDescent="0.25">
      <c r="A364" s="8"/>
      <c r="B364" s="8"/>
      <c r="C364" s="8"/>
      <c r="D364" s="8"/>
      <c r="E364" s="23"/>
      <c r="F364" s="25" t="s">
        <v>851</v>
      </c>
      <c r="G364" s="25" t="s">
        <v>852</v>
      </c>
      <c r="H364" s="25" t="s">
        <v>853</v>
      </c>
      <c r="I364" s="25" t="s">
        <v>854</v>
      </c>
      <c r="J364" s="25" t="s">
        <v>855</v>
      </c>
      <c r="K364" s="25" t="s">
        <v>856</v>
      </c>
      <c r="L364" s="8"/>
      <c r="M364" s="8"/>
      <c r="N364" s="8"/>
    </row>
    <row r="365" spans="1:14" ht="15.4" customHeight="1" thickBot="1" x14ac:dyDescent="0.25">
      <c r="A365" s="8"/>
      <c r="B365" s="8"/>
      <c r="C365" s="8"/>
      <c r="D365" s="26"/>
      <c r="E365" s="27" t="s">
        <v>857</v>
      </c>
      <c r="F365" s="28">
        <v>1</v>
      </c>
      <c r="G365" s="29">
        <v>80</v>
      </c>
      <c r="H365" s="29"/>
      <c r="I365" s="29"/>
      <c r="J365" s="31">
        <f>ROUND(F365*G365,2)</f>
        <v>80</v>
      </c>
      <c r="K365" s="33">
        <f>SUM(J365:J365)</f>
        <v>80</v>
      </c>
      <c r="L365" s="8"/>
      <c r="M365" s="8"/>
      <c r="N365" s="8"/>
    </row>
    <row r="366" spans="1:14" ht="24.75" customHeight="1" thickBot="1" x14ac:dyDescent="0.25">
      <c r="A366" s="12" t="s">
        <v>858</v>
      </c>
      <c r="B366" s="6" t="s">
        <v>859</v>
      </c>
      <c r="C366" s="6" t="s">
        <v>860</v>
      </c>
      <c r="D366" s="60" t="s">
        <v>861</v>
      </c>
      <c r="E366" s="60"/>
      <c r="F366" s="60"/>
      <c r="G366" s="60"/>
      <c r="H366" s="60"/>
      <c r="I366" s="60"/>
      <c r="J366" s="60"/>
      <c r="K366" s="22">
        <f>SUM(K369:K369)</f>
        <v>5.6</v>
      </c>
      <c r="L366" s="22">
        <f>ROUND(523.35*(1+M2/100),2)</f>
        <v>523.35</v>
      </c>
      <c r="M366" s="22">
        <f>ROUND(K366*L366,2)</f>
        <v>2930.76</v>
      </c>
      <c r="N366" s="8"/>
    </row>
    <row r="367" spans="1:14" ht="227.45" customHeight="1" thickBot="1" x14ac:dyDescent="0.25">
      <c r="A367" s="8"/>
      <c r="B367" s="8"/>
      <c r="C367" s="8"/>
      <c r="D367" s="60" t="s">
        <v>862</v>
      </c>
      <c r="E367" s="60"/>
      <c r="F367" s="60"/>
      <c r="G367" s="60"/>
      <c r="H367" s="60"/>
      <c r="I367" s="60"/>
      <c r="J367" s="60"/>
      <c r="K367" s="60"/>
      <c r="L367" s="60"/>
      <c r="M367" s="60"/>
      <c r="N367" s="8"/>
    </row>
    <row r="368" spans="1:14" ht="15.4" customHeight="1" thickBot="1" x14ac:dyDescent="0.25">
      <c r="A368" s="8"/>
      <c r="B368" s="8"/>
      <c r="C368" s="8"/>
      <c r="D368" s="8"/>
      <c r="E368" s="23"/>
      <c r="F368" s="25" t="s">
        <v>863</v>
      </c>
      <c r="G368" s="25" t="s">
        <v>864</v>
      </c>
      <c r="H368" s="25" t="s">
        <v>865</v>
      </c>
      <c r="I368" s="25" t="s">
        <v>866</v>
      </c>
      <c r="J368" s="25" t="s">
        <v>867</v>
      </c>
      <c r="K368" s="25" t="s">
        <v>868</v>
      </c>
      <c r="L368" s="8"/>
      <c r="M368" s="8"/>
      <c r="N368" s="8"/>
    </row>
    <row r="369" spans="1:14" ht="15.4" customHeight="1" thickBot="1" x14ac:dyDescent="0.25">
      <c r="A369" s="8"/>
      <c r="B369" s="8"/>
      <c r="C369" s="8"/>
      <c r="D369" s="26"/>
      <c r="E369" s="27" t="s">
        <v>869</v>
      </c>
      <c r="F369" s="28">
        <v>2</v>
      </c>
      <c r="G369" s="29">
        <v>1.4</v>
      </c>
      <c r="H369" s="29">
        <v>0.8</v>
      </c>
      <c r="I369" s="29">
        <v>2.5</v>
      </c>
      <c r="J369" s="31">
        <f>ROUND(F369*G369*H369*I369,2)</f>
        <v>5.6</v>
      </c>
      <c r="K369" s="33">
        <f>SUM(J369:J369)</f>
        <v>5.6</v>
      </c>
      <c r="L369" s="8"/>
      <c r="M369" s="8"/>
      <c r="N369" s="8"/>
    </row>
    <row r="370" spans="1:14" ht="15.4" customHeight="1" thickBot="1" x14ac:dyDescent="0.25">
      <c r="A370" s="36"/>
      <c r="B370" s="36"/>
      <c r="C370" s="36"/>
      <c r="D370" s="50" t="s">
        <v>870</v>
      </c>
      <c r="E370" s="51"/>
      <c r="F370" s="51"/>
      <c r="G370" s="51"/>
      <c r="H370" s="51"/>
      <c r="I370" s="51"/>
      <c r="J370" s="51"/>
      <c r="K370" s="51"/>
      <c r="L370" s="52">
        <f>M282+M286+M290+M299+M316+M320+M326+M335+M342+M346+M350+M354+M358+M362+M366</f>
        <v>233038.65</v>
      </c>
      <c r="M370" s="52">
        <f>ROUND(L370,2)</f>
        <v>233038.65</v>
      </c>
      <c r="N370" s="8"/>
    </row>
    <row r="371" spans="1:14" ht="15.4" customHeight="1" thickBot="1" x14ac:dyDescent="0.25">
      <c r="A371" s="47" t="s">
        <v>871</v>
      </c>
      <c r="B371" s="47" t="s">
        <v>872</v>
      </c>
      <c r="C371" s="48"/>
      <c r="D371" s="62" t="s">
        <v>873</v>
      </c>
      <c r="E371" s="62"/>
      <c r="F371" s="62"/>
      <c r="G371" s="62"/>
      <c r="H371" s="62"/>
      <c r="I371" s="62"/>
      <c r="J371" s="62"/>
      <c r="K371" s="48"/>
      <c r="L371" s="49">
        <f>L551</f>
        <v>60587.999999999993</v>
      </c>
      <c r="M371" s="49">
        <f>ROUND(L371,2)</f>
        <v>60588</v>
      </c>
      <c r="N371" s="8"/>
    </row>
    <row r="372" spans="1:14" ht="15.4" customHeight="1" thickBot="1" x14ac:dyDescent="0.25">
      <c r="A372" s="12" t="s">
        <v>874</v>
      </c>
      <c r="B372" s="6" t="s">
        <v>875</v>
      </c>
      <c r="C372" s="6" t="s">
        <v>876</v>
      </c>
      <c r="D372" s="60" t="s">
        <v>877</v>
      </c>
      <c r="E372" s="60"/>
      <c r="F372" s="60"/>
      <c r="G372" s="60"/>
      <c r="H372" s="60"/>
      <c r="I372" s="60"/>
      <c r="J372" s="60"/>
      <c r="K372" s="22">
        <f>SUM(K375:K382)</f>
        <v>134.5</v>
      </c>
      <c r="L372" s="22">
        <f>ROUND(17.85*(1+M2/100),2)</f>
        <v>17.850000000000001</v>
      </c>
      <c r="M372" s="22">
        <f>ROUND(K372*L372,2)</f>
        <v>2400.83</v>
      </c>
      <c r="N372" s="8"/>
    </row>
    <row r="373" spans="1:14" ht="30.95" customHeight="1" thickBot="1" x14ac:dyDescent="0.25">
      <c r="A373" s="8"/>
      <c r="B373" s="8"/>
      <c r="C373" s="8"/>
      <c r="D373" s="60" t="s">
        <v>878</v>
      </c>
      <c r="E373" s="60"/>
      <c r="F373" s="60"/>
      <c r="G373" s="60"/>
      <c r="H373" s="60"/>
      <c r="I373" s="60"/>
      <c r="J373" s="60"/>
      <c r="K373" s="60"/>
      <c r="L373" s="60"/>
      <c r="M373" s="60"/>
      <c r="N373" s="8"/>
    </row>
    <row r="374" spans="1:14" ht="15.4" customHeight="1" thickBot="1" x14ac:dyDescent="0.25">
      <c r="A374" s="8"/>
      <c r="B374" s="8"/>
      <c r="C374" s="8"/>
      <c r="D374" s="8"/>
      <c r="E374" s="23"/>
      <c r="F374" s="25" t="s">
        <v>879</v>
      </c>
      <c r="G374" s="25" t="s">
        <v>880</v>
      </c>
      <c r="H374" s="25" t="s">
        <v>881</v>
      </c>
      <c r="I374" s="25" t="s">
        <v>882</v>
      </c>
      <c r="J374" s="25" t="s">
        <v>883</v>
      </c>
      <c r="K374" s="25" t="s">
        <v>884</v>
      </c>
      <c r="L374" s="8"/>
      <c r="M374" s="8"/>
      <c r="N374" s="8"/>
    </row>
    <row r="375" spans="1:14" ht="15.4" customHeight="1" thickBot="1" x14ac:dyDescent="0.25">
      <c r="A375" s="8"/>
      <c r="B375" s="8"/>
      <c r="C375" s="8"/>
      <c r="D375" s="26"/>
      <c r="E375" s="27" t="s">
        <v>885</v>
      </c>
      <c r="F375" s="28"/>
      <c r="G375" s="29"/>
      <c r="H375" s="29"/>
      <c r="I375" s="29"/>
      <c r="J375" s="34" t="s">
        <v>886</v>
      </c>
      <c r="K375" s="35"/>
      <c r="L375" s="8"/>
      <c r="M375" s="8"/>
      <c r="N375" s="8"/>
    </row>
    <row r="376" spans="1:14" ht="21.6" customHeight="1" thickBot="1" x14ac:dyDescent="0.25">
      <c r="A376" s="8"/>
      <c r="B376" s="8"/>
      <c r="C376" s="8"/>
      <c r="D376" s="26"/>
      <c r="E376" s="6" t="s">
        <v>887</v>
      </c>
      <c r="F376" s="4">
        <v>100</v>
      </c>
      <c r="G376" s="22"/>
      <c r="H376" s="22"/>
      <c r="I376" s="22"/>
      <c r="J376" s="30">
        <f>ROUND(F376,2)</f>
        <v>100</v>
      </c>
      <c r="K376" s="8"/>
      <c r="L376" s="8"/>
      <c r="M376" s="8"/>
      <c r="N376" s="8"/>
    </row>
    <row r="377" spans="1:14" ht="21.6" customHeight="1" thickBot="1" x14ac:dyDescent="0.25">
      <c r="A377" s="8"/>
      <c r="B377" s="8"/>
      <c r="C377" s="8"/>
      <c r="D377" s="26"/>
      <c r="E377" s="6" t="s">
        <v>888</v>
      </c>
      <c r="F377" s="4">
        <v>1</v>
      </c>
      <c r="G377" s="22">
        <v>1.8</v>
      </c>
      <c r="H377" s="22"/>
      <c r="I377" s="22">
        <v>2.5</v>
      </c>
      <c r="J377" s="30">
        <f>ROUND(F377*G377*I377,2)</f>
        <v>4.5</v>
      </c>
      <c r="K377" s="8"/>
      <c r="L377" s="8"/>
      <c r="M377" s="8"/>
      <c r="N377" s="8"/>
    </row>
    <row r="378" spans="1:14" ht="30.95" customHeight="1" thickBot="1" x14ac:dyDescent="0.25">
      <c r="A378" s="8"/>
      <c r="B378" s="8"/>
      <c r="C378" s="8"/>
      <c r="D378" s="26"/>
      <c r="E378" s="6" t="s">
        <v>889</v>
      </c>
      <c r="F378" s="4">
        <v>2</v>
      </c>
      <c r="G378" s="22">
        <v>3.6</v>
      </c>
      <c r="H378" s="22"/>
      <c r="I378" s="22">
        <v>2.5</v>
      </c>
      <c r="J378" s="30">
        <f>ROUND(F378*G378*I378,2)</f>
        <v>18</v>
      </c>
      <c r="K378" s="8"/>
      <c r="L378" s="8"/>
      <c r="M378" s="8"/>
      <c r="N378" s="8"/>
    </row>
    <row r="379" spans="1:14" ht="21.6" customHeight="1" thickBot="1" x14ac:dyDescent="0.25">
      <c r="A379" s="8"/>
      <c r="B379" s="8"/>
      <c r="C379" s="8"/>
      <c r="D379" s="26"/>
      <c r="E379" s="6" t="s">
        <v>890</v>
      </c>
      <c r="F379" s="4">
        <v>2</v>
      </c>
      <c r="G379" s="22"/>
      <c r="H379" s="22"/>
      <c r="I379" s="22"/>
      <c r="J379" s="30">
        <f>ROUND(F379,2)</f>
        <v>2</v>
      </c>
      <c r="K379" s="8"/>
      <c r="L379" s="8"/>
      <c r="M379" s="8"/>
      <c r="N379" s="8"/>
    </row>
    <row r="380" spans="1:14" ht="30.95" customHeight="1" thickBot="1" x14ac:dyDescent="0.25">
      <c r="A380" s="8"/>
      <c r="B380" s="8"/>
      <c r="C380" s="8"/>
      <c r="D380" s="26"/>
      <c r="E380" s="6" t="s">
        <v>891</v>
      </c>
      <c r="F380" s="4">
        <v>2.5</v>
      </c>
      <c r="G380" s="22"/>
      <c r="H380" s="22"/>
      <c r="I380" s="22"/>
      <c r="J380" s="30">
        <f>ROUND(F380,2)</f>
        <v>2.5</v>
      </c>
      <c r="K380" s="8"/>
      <c r="L380" s="8"/>
      <c r="M380" s="8"/>
      <c r="N380" s="8"/>
    </row>
    <row r="381" spans="1:14" ht="30.95" customHeight="1" thickBot="1" x14ac:dyDescent="0.25">
      <c r="A381" s="8"/>
      <c r="B381" s="8"/>
      <c r="C381" s="8"/>
      <c r="D381" s="26"/>
      <c r="E381" s="6" t="s">
        <v>892</v>
      </c>
      <c r="F381" s="4">
        <v>2</v>
      </c>
      <c r="G381" s="22"/>
      <c r="H381" s="22"/>
      <c r="I381" s="22"/>
      <c r="J381" s="30">
        <f>ROUND(F381,2)</f>
        <v>2</v>
      </c>
      <c r="K381" s="8"/>
      <c r="L381" s="8"/>
      <c r="M381" s="8"/>
      <c r="N381" s="8"/>
    </row>
    <row r="382" spans="1:14" ht="21.6" customHeight="1" thickBot="1" x14ac:dyDescent="0.25">
      <c r="A382" s="8"/>
      <c r="B382" s="8"/>
      <c r="C382" s="8"/>
      <c r="D382" s="26"/>
      <c r="E382" s="6" t="s">
        <v>893</v>
      </c>
      <c r="F382" s="4">
        <v>5.5</v>
      </c>
      <c r="G382" s="22"/>
      <c r="H382" s="22"/>
      <c r="I382" s="22"/>
      <c r="J382" s="30">
        <f>ROUND(F382,2)</f>
        <v>5.5</v>
      </c>
      <c r="K382" s="32">
        <f>SUM(J375:J382)</f>
        <v>134.5</v>
      </c>
      <c r="L382" s="8"/>
      <c r="M382" s="8"/>
      <c r="N382" s="8"/>
    </row>
    <row r="383" spans="1:14" ht="15.4" customHeight="1" thickBot="1" x14ac:dyDescent="0.25">
      <c r="A383" s="12" t="s">
        <v>894</v>
      </c>
      <c r="B383" s="6" t="s">
        <v>895</v>
      </c>
      <c r="C383" s="6" t="s">
        <v>896</v>
      </c>
      <c r="D383" s="60" t="s">
        <v>897</v>
      </c>
      <c r="E383" s="60"/>
      <c r="F383" s="60"/>
      <c r="G383" s="60"/>
      <c r="H383" s="60"/>
      <c r="I383" s="60"/>
      <c r="J383" s="60"/>
      <c r="K383" s="22">
        <f>SUM(K386:K390)</f>
        <v>151.80000000000001</v>
      </c>
      <c r="L383" s="22">
        <f>ROUND(47.6*(1+M2/100),2)</f>
        <v>47.6</v>
      </c>
      <c r="M383" s="22">
        <f>ROUND(K383*L383,2)</f>
        <v>7225.68</v>
      </c>
      <c r="N383" s="8"/>
    </row>
    <row r="384" spans="1:14" ht="49.7" customHeight="1" thickBot="1" x14ac:dyDescent="0.25">
      <c r="A384" s="8"/>
      <c r="B384" s="8"/>
      <c r="C384" s="8"/>
      <c r="D384" s="60" t="s">
        <v>898</v>
      </c>
      <c r="E384" s="60"/>
      <c r="F384" s="60"/>
      <c r="G384" s="60"/>
      <c r="H384" s="60"/>
      <c r="I384" s="60"/>
      <c r="J384" s="60"/>
      <c r="K384" s="60"/>
      <c r="L384" s="60"/>
      <c r="M384" s="60"/>
      <c r="N384" s="8"/>
    </row>
    <row r="385" spans="1:14" ht="15.4" customHeight="1" thickBot="1" x14ac:dyDescent="0.25">
      <c r="A385" s="8"/>
      <c r="B385" s="8"/>
      <c r="C385" s="8"/>
      <c r="D385" s="8"/>
      <c r="E385" s="23"/>
      <c r="F385" s="25" t="s">
        <v>899</v>
      </c>
      <c r="G385" s="25" t="s">
        <v>900</v>
      </c>
      <c r="H385" s="25" t="s">
        <v>901</v>
      </c>
      <c r="I385" s="25" t="s">
        <v>902</v>
      </c>
      <c r="J385" s="25" t="s">
        <v>903</v>
      </c>
      <c r="K385" s="25" t="s">
        <v>904</v>
      </c>
      <c r="L385" s="8"/>
      <c r="M385" s="8"/>
      <c r="N385" s="8"/>
    </row>
    <row r="386" spans="1:14" ht="21.6" customHeight="1" thickBot="1" x14ac:dyDescent="0.25">
      <c r="A386" s="8"/>
      <c r="B386" s="8"/>
      <c r="C386" s="8"/>
      <c r="D386" s="26"/>
      <c r="E386" s="27" t="s">
        <v>905</v>
      </c>
      <c r="F386" s="28">
        <v>2</v>
      </c>
      <c r="G386" s="29">
        <v>9.5</v>
      </c>
      <c r="H386" s="29"/>
      <c r="I386" s="29">
        <v>2.4</v>
      </c>
      <c r="J386" s="31">
        <f>ROUND(F386*G386*I386,2)</f>
        <v>45.6</v>
      </c>
      <c r="K386" s="35"/>
      <c r="L386" s="8"/>
      <c r="M386" s="8"/>
      <c r="N386" s="8"/>
    </row>
    <row r="387" spans="1:14" ht="21.6" customHeight="1" thickBot="1" x14ac:dyDescent="0.25">
      <c r="A387" s="8"/>
      <c r="B387" s="8"/>
      <c r="C387" s="8"/>
      <c r="D387" s="26"/>
      <c r="E387" s="6" t="s">
        <v>906</v>
      </c>
      <c r="F387" s="4">
        <v>2</v>
      </c>
      <c r="G387" s="22">
        <v>13</v>
      </c>
      <c r="H387" s="22"/>
      <c r="I387" s="22">
        <v>2.1</v>
      </c>
      <c r="J387" s="30">
        <f>ROUND(F387*G387*I387,2)</f>
        <v>54.6</v>
      </c>
      <c r="K387" s="8"/>
      <c r="L387" s="8"/>
      <c r="M387" s="8"/>
      <c r="N387" s="8"/>
    </row>
    <row r="388" spans="1:14" ht="15.4" customHeight="1" thickBot="1" x14ac:dyDescent="0.25">
      <c r="A388" s="8"/>
      <c r="B388" s="8"/>
      <c r="C388" s="8"/>
      <c r="D388" s="26"/>
      <c r="E388" s="6" t="s">
        <v>907</v>
      </c>
      <c r="F388" s="4">
        <v>1</v>
      </c>
      <c r="G388" s="22">
        <v>14</v>
      </c>
      <c r="H388" s="22"/>
      <c r="I388" s="22">
        <v>1.2</v>
      </c>
      <c r="J388" s="30">
        <f>ROUND(F388*G388*I388,2)</f>
        <v>16.8</v>
      </c>
      <c r="K388" s="8"/>
      <c r="L388" s="8"/>
      <c r="M388" s="8"/>
      <c r="N388" s="8"/>
    </row>
    <row r="389" spans="1:14" ht="15.4" customHeight="1" thickBot="1" x14ac:dyDescent="0.25">
      <c r="A389" s="8"/>
      <c r="B389" s="8"/>
      <c r="C389" s="8"/>
      <c r="D389" s="26"/>
      <c r="E389" s="6"/>
      <c r="F389" s="4">
        <v>1</v>
      </c>
      <c r="G389" s="22">
        <v>14</v>
      </c>
      <c r="H389" s="22"/>
      <c r="I389" s="22">
        <v>1.2</v>
      </c>
      <c r="J389" s="30">
        <f>ROUND(F389*G389*I389,2)</f>
        <v>16.8</v>
      </c>
      <c r="K389" s="8"/>
      <c r="L389" s="8"/>
      <c r="M389" s="8"/>
      <c r="N389" s="8"/>
    </row>
    <row r="390" spans="1:14" ht="15.4" customHeight="1" thickBot="1" x14ac:dyDescent="0.25">
      <c r="A390" s="8"/>
      <c r="B390" s="8"/>
      <c r="C390" s="8"/>
      <c r="D390" s="26"/>
      <c r="E390" s="6" t="s">
        <v>908</v>
      </c>
      <c r="F390" s="4">
        <v>1</v>
      </c>
      <c r="G390" s="22">
        <v>12</v>
      </c>
      <c r="H390" s="22"/>
      <c r="I390" s="22">
        <v>1.5</v>
      </c>
      <c r="J390" s="30">
        <f>ROUND(F390*G390*I390,2)</f>
        <v>18</v>
      </c>
      <c r="K390" s="32">
        <f>SUM(J386:J390)</f>
        <v>151.80000000000001</v>
      </c>
      <c r="L390" s="8"/>
      <c r="M390" s="8"/>
      <c r="N390" s="8"/>
    </row>
    <row r="391" spans="1:14" ht="15.4" customHeight="1" thickBot="1" x14ac:dyDescent="0.25">
      <c r="A391" s="12" t="s">
        <v>909</v>
      </c>
      <c r="B391" s="6" t="s">
        <v>910</v>
      </c>
      <c r="C391" s="6" t="s">
        <v>911</v>
      </c>
      <c r="D391" s="60" t="s">
        <v>912</v>
      </c>
      <c r="E391" s="60"/>
      <c r="F391" s="60"/>
      <c r="G391" s="60"/>
      <c r="H391" s="60"/>
      <c r="I391" s="60"/>
      <c r="J391" s="60"/>
      <c r="K391" s="22">
        <f>SUM(K394:K394)</f>
        <v>12</v>
      </c>
      <c r="L391" s="22">
        <f>ROUND(23.79*(1+M2/100),2)</f>
        <v>23.79</v>
      </c>
      <c r="M391" s="22">
        <f>ROUND(K391*L391,2)</f>
        <v>285.48</v>
      </c>
      <c r="N391" s="8"/>
    </row>
    <row r="392" spans="1:14" ht="21.6" customHeight="1" thickBot="1" x14ac:dyDescent="0.25">
      <c r="A392" s="8"/>
      <c r="B392" s="8"/>
      <c r="C392" s="8"/>
      <c r="D392" s="60" t="s">
        <v>913</v>
      </c>
      <c r="E392" s="60"/>
      <c r="F392" s="60"/>
      <c r="G392" s="60"/>
      <c r="H392" s="60"/>
      <c r="I392" s="60"/>
      <c r="J392" s="60"/>
      <c r="K392" s="60"/>
      <c r="L392" s="60"/>
      <c r="M392" s="60"/>
      <c r="N392" s="8"/>
    </row>
    <row r="393" spans="1:14" ht="15.4" customHeight="1" thickBot="1" x14ac:dyDescent="0.25">
      <c r="A393" s="8"/>
      <c r="B393" s="8"/>
      <c r="C393" s="8"/>
      <c r="D393" s="8"/>
      <c r="E393" s="23"/>
      <c r="F393" s="25" t="s">
        <v>914</v>
      </c>
      <c r="G393" s="25" t="s">
        <v>915</v>
      </c>
      <c r="H393" s="25" t="s">
        <v>916</v>
      </c>
      <c r="I393" s="25" t="s">
        <v>917</v>
      </c>
      <c r="J393" s="25" t="s">
        <v>918</v>
      </c>
      <c r="K393" s="25" t="s">
        <v>919</v>
      </c>
      <c r="L393" s="8"/>
      <c r="M393" s="8"/>
      <c r="N393" s="8"/>
    </row>
    <row r="394" spans="1:14" ht="15.4" customHeight="1" thickBot="1" x14ac:dyDescent="0.25">
      <c r="A394" s="8"/>
      <c r="B394" s="8"/>
      <c r="C394" s="8"/>
      <c r="D394" s="26"/>
      <c r="E394" s="27"/>
      <c r="F394" s="28">
        <v>12</v>
      </c>
      <c r="G394" s="29"/>
      <c r="H394" s="29"/>
      <c r="I394" s="29"/>
      <c r="J394" s="31">
        <f>ROUND(F394,2)</f>
        <v>12</v>
      </c>
      <c r="K394" s="33">
        <f>SUM(J394:J394)</f>
        <v>12</v>
      </c>
      <c r="L394" s="8"/>
      <c r="M394" s="8"/>
      <c r="N394" s="8"/>
    </row>
    <row r="395" spans="1:14" ht="15.4" customHeight="1" thickBot="1" x14ac:dyDescent="0.25">
      <c r="A395" s="12" t="s">
        <v>920</v>
      </c>
      <c r="B395" s="6" t="s">
        <v>921</v>
      </c>
      <c r="C395" s="6" t="s">
        <v>922</v>
      </c>
      <c r="D395" s="60" t="s">
        <v>923</v>
      </c>
      <c r="E395" s="60"/>
      <c r="F395" s="60"/>
      <c r="G395" s="60"/>
      <c r="H395" s="60"/>
      <c r="I395" s="60"/>
      <c r="J395" s="60"/>
      <c r="K395" s="22">
        <f>SUM(K398:K404)</f>
        <v>49.02</v>
      </c>
      <c r="L395" s="22">
        <f>ROUND(59.5*(1+M2/100),2)</f>
        <v>59.5</v>
      </c>
      <c r="M395" s="22">
        <f>ROUND(K395*L395,2)</f>
        <v>2916.69</v>
      </c>
      <c r="N395" s="8"/>
    </row>
    <row r="396" spans="1:14" ht="30.95" customHeight="1" thickBot="1" x14ac:dyDescent="0.25">
      <c r="A396" s="8"/>
      <c r="B396" s="8"/>
      <c r="C396" s="8"/>
      <c r="D396" s="60" t="s">
        <v>924</v>
      </c>
      <c r="E396" s="60"/>
      <c r="F396" s="60"/>
      <c r="G396" s="60"/>
      <c r="H396" s="60"/>
      <c r="I396" s="60"/>
      <c r="J396" s="60"/>
      <c r="K396" s="60"/>
      <c r="L396" s="60"/>
      <c r="M396" s="60"/>
      <c r="N396" s="8"/>
    </row>
    <row r="397" spans="1:14" ht="15.4" customHeight="1" thickBot="1" x14ac:dyDescent="0.25">
      <c r="A397" s="8"/>
      <c r="B397" s="8"/>
      <c r="C397" s="8"/>
      <c r="D397" s="8"/>
      <c r="E397" s="23"/>
      <c r="F397" s="25" t="s">
        <v>925</v>
      </c>
      <c r="G397" s="25" t="s">
        <v>926</v>
      </c>
      <c r="H397" s="25" t="s">
        <v>927</v>
      </c>
      <c r="I397" s="25" t="s">
        <v>928</v>
      </c>
      <c r="J397" s="25" t="s">
        <v>929</v>
      </c>
      <c r="K397" s="25" t="s">
        <v>930</v>
      </c>
      <c r="L397" s="8"/>
      <c r="M397" s="8"/>
      <c r="N397" s="8"/>
    </row>
    <row r="398" spans="1:14" ht="15.4" customHeight="1" thickBot="1" x14ac:dyDescent="0.25">
      <c r="A398" s="8"/>
      <c r="B398" s="8"/>
      <c r="C398" s="8"/>
      <c r="D398" s="26"/>
      <c r="E398" s="27" t="s">
        <v>931</v>
      </c>
      <c r="F398" s="28"/>
      <c r="G398" s="29"/>
      <c r="H398" s="29"/>
      <c r="I398" s="29"/>
      <c r="J398" s="34" t="s">
        <v>932</v>
      </c>
      <c r="K398" s="35"/>
      <c r="L398" s="8"/>
      <c r="M398" s="8"/>
      <c r="N398" s="8"/>
    </row>
    <row r="399" spans="1:14" ht="15.4" customHeight="1" thickBot="1" x14ac:dyDescent="0.25">
      <c r="A399" s="8"/>
      <c r="B399" s="8"/>
      <c r="C399" s="8"/>
      <c r="D399" s="26"/>
      <c r="E399" s="6"/>
      <c r="F399" s="4">
        <v>6</v>
      </c>
      <c r="G399" s="22">
        <v>1.7</v>
      </c>
      <c r="H399" s="22"/>
      <c r="I399" s="22"/>
      <c r="J399" s="30">
        <f t="shared" ref="J399:J404" si="5">ROUND(F399*G399,2)</f>
        <v>10.199999999999999</v>
      </c>
      <c r="K399" s="8"/>
      <c r="L399" s="8"/>
      <c r="M399" s="8"/>
      <c r="N399" s="8"/>
    </row>
    <row r="400" spans="1:14" ht="15.4" customHeight="1" thickBot="1" x14ac:dyDescent="0.25">
      <c r="A400" s="8"/>
      <c r="B400" s="8"/>
      <c r="C400" s="8"/>
      <c r="D400" s="26"/>
      <c r="E400" s="6"/>
      <c r="F400" s="4">
        <v>2</v>
      </c>
      <c r="G400" s="22">
        <v>0.4</v>
      </c>
      <c r="H400" s="22"/>
      <c r="I400" s="22"/>
      <c r="J400" s="30">
        <f t="shared" si="5"/>
        <v>0.8</v>
      </c>
      <c r="K400" s="8"/>
      <c r="L400" s="8"/>
      <c r="M400" s="8"/>
      <c r="N400" s="8"/>
    </row>
    <row r="401" spans="1:14" ht="15.4" customHeight="1" thickBot="1" x14ac:dyDescent="0.25">
      <c r="A401" s="8"/>
      <c r="B401" s="8"/>
      <c r="C401" s="8"/>
      <c r="D401" s="26"/>
      <c r="E401" s="6"/>
      <c r="F401" s="4">
        <v>6</v>
      </c>
      <c r="G401" s="22">
        <v>0.85</v>
      </c>
      <c r="H401" s="22"/>
      <c r="I401" s="22"/>
      <c r="J401" s="30">
        <f t="shared" si="5"/>
        <v>5.0999999999999996</v>
      </c>
      <c r="K401" s="8"/>
      <c r="L401" s="8"/>
      <c r="M401" s="8"/>
      <c r="N401" s="8"/>
    </row>
    <row r="402" spans="1:14" ht="15.4" customHeight="1" thickBot="1" x14ac:dyDescent="0.25">
      <c r="A402" s="8"/>
      <c r="B402" s="8"/>
      <c r="C402" s="8"/>
      <c r="D402" s="26"/>
      <c r="E402" s="6"/>
      <c r="F402" s="4">
        <v>2</v>
      </c>
      <c r="G402" s="22">
        <v>1.48</v>
      </c>
      <c r="H402" s="22"/>
      <c r="I402" s="22"/>
      <c r="J402" s="30">
        <f t="shared" si="5"/>
        <v>2.96</v>
      </c>
      <c r="K402" s="8"/>
      <c r="L402" s="8"/>
      <c r="M402" s="8"/>
      <c r="N402" s="8"/>
    </row>
    <row r="403" spans="1:14" ht="15.4" customHeight="1" thickBot="1" x14ac:dyDescent="0.25">
      <c r="A403" s="8"/>
      <c r="B403" s="8"/>
      <c r="C403" s="8"/>
      <c r="D403" s="26"/>
      <c r="E403" s="6"/>
      <c r="F403" s="4">
        <v>2</v>
      </c>
      <c r="G403" s="22">
        <v>1.48</v>
      </c>
      <c r="H403" s="22"/>
      <c r="I403" s="22"/>
      <c r="J403" s="30">
        <f t="shared" si="5"/>
        <v>2.96</v>
      </c>
      <c r="K403" s="8"/>
      <c r="L403" s="8"/>
      <c r="M403" s="8"/>
      <c r="N403" s="8"/>
    </row>
    <row r="404" spans="1:14" ht="15.4" customHeight="1" thickBot="1" x14ac:dyDescent="0.25">
      <c r="A404" s="8"/>
      <c r="B404" s="8"/>
      <c r="C404" s="8"/>
      <c r="D404" s="26"/>
      <c r="E404" s="6"/>
      <c r="F404" s="4">
        <v>10</v>
      </c>
      <c r="G404" s="22">
        <v>2.7</v>
      </c>
      <c r="H404" s="22"/>
      <c r="I404" s="22"/>
      <c r="J404" s="30">
        <f t="shared" si="5"/>
        <v>27</v>
      </c>
      <c r="K404" s="32">
        <f>SUM(J398:J404)</f>
        <v>49.02</v>
      </c>
      <c r="L404" s="8"/>
      <c r="M404" s="8"/>
      <c r="N404" s="8"/>
    </row>
    <row r="405" spans="1:14" ht="15.4" customHeight="1" thickBot="1" x14ac:dyDescent="0.25">
      <c r="A405" s="12" t="s">
        <v>933</v>
      </c>
      <c r="B405" s="6" t="s">
        <v>934</v>
      </c>
      <c r="C405" s="6" t="s">
        <v>935</v>
      </c>
      <c r="D405" s="60" t="s">
        <v>936</v>
      </c>
      <c r="E405" s="60"/>
      <c r="F405" s="60"/>
      <c r="G405" s="60"/>
      <c r="H405" s="60"/>
      <c r="I405" s="60"/>
      <c r="J405" s="60"/>
      <c r="K405" s="22">
        <f>SUM(K408:K412)</f>
        <v>1.5499999999999998</v>
      </c>
      <c r="L405" s="22">
        <f>ROUND(202.29*(1+M2/100),2)</f>
        <v>202.29</v>
      </c>
      <c r="M405" s="22">
        <f>ROUND(K405*L405,2)</f>
        <v>313.55</v>
      </c>
      <c r="N405" s="8"/>
    </row>
    <row r="406" spans="1:14" ht="30.95" customHeight="1" thickBot="1" x14ac:dyDescent="0.25">
      <c r="A406" s="8"/>
      <c r="B406" s="8"/>
      <c r="C406" s="8"/>
      <c r="D406" s="60" t="s">
        <v>937</v>
      </c>
      <c r="E406" s="60"/>
      <c r="F406" s="60"/>
      <c r="G406" s="60"/>
      <c r="H406" s="60"/>
      <c r="I406" s="60"/>
      <c r="J406" s="60"/>
      <c r="K406" s="60"/>
      <c r="L406" s="60"/>
      <c r="M406" s="60"/>
      <c r="N406" s="8"/>
    </row>
    <row r="407" spans="1:14" ht="15.4" customHeight="1" thickBot="1" x14ac:dyDescent="0.25">
      <c r="A407" s="8"/>
      <c r="B407" s="8"/>
      <c r="C407" s="8"/>
      <c r="D407" s="8"/>
      <c r="E407" s="23"/>
      <c r="F407" s="25" t="s">
        <v>938</v>
      </c>
      <c r="G407" s="25" t="s">
        <v>939</v>
      </c>
      <c r="H407" s="25" t="s">
        <v>940</v>
      </c>
      <c r="I407" s="25" t="s">
        <v>941</v>
      </c>
      <c r="J407" s="25" t="s">
        <v>942</v>
      </c>
      <c r="K407" s="25" t="s">
        <v>943</v>
      </c>
      <c r="L407" s="8"/>
      <c r="M407" s="8"/>
      <c r="N407" s="8"/>
    </row>
    <row r="408" spans="1:14" ht="15.4" customHeight="1" thickBot="1" x14ac:dyDescent="0.25">
      <c r="A408" s="8"/>
      <c r="B408" s="8"/>
      <c r="C408" s="8"/>
      <c r="D408" s="26"/>
      <c r="E408" s="27" t="s">
        <v>944</v>
      </c>
      <c r="F408" s="28">
        <v>1</v>
      </c>
      <c r="G408" s="29">
        <v>7.5</v>
      </c>
      <c r="H408" s="29"/>
      <c r="I408" s="29">
        <v>0.1</v>
      </c>
      <c r="J408" s="31">
        <f>ROUND(F408*G408*I408,2)</f>
        <v>0.75</v>
      </c>
      <c r="K408" s="35"/>
      <c r="L408" s="8"/>
      <c r="M408" s="8"/>
      <c r="N408" s="8"/>
    </row>
    <row r="409" spans="1:14" ht="15.4" customHeight="1" thickBot="1" x14ac:dyDescent="0.25">
      <c r="A409" s="8"/>
      <c r="B409" s="8"/>
      <c r="C409" s="8"/>
      <c r="D409" s="26"/>
      <c r="E409" s="6"/>
      <c r="F409" s="4">
        <v>1</v>
      </c>
      <c r="G409" s="22">
        <v>2.2000000000000002</v>
      </c>
      <c r="H409" s="22"/>
      <c r="I409" s="22">
        <v>0.1</v>
      </c>
      <c r="J409" s="30">
        <f>ROUND(F409*G409*I409,2)</f>
        <v>0.22</v>
      </c>
      <c r="K409" s="8"/>
      <c r="L409" s="8"/>
      <c r="M409" s="8"/>
      <c r="N409" s="8"/>
    </row>
    <row r="410" spans="1:14" ht="15.4" customHeight="1" thickBot="1" x14ac:dyDescent="0.25">
      <c r="A410" s="8"/>
      <c r="B410" s="8"/>
      <c r="C410" s="8"/>
      <c r="D410" s="26"/>
      <c r="E410" s="6"/>
      <c r="F410" s="4">
        <v>1</v>
      </c>
      <c r="G410" s="22">
        <v>1.8</v>
      </c>
      <c r="H410" s="22"/>
      <c r="I410" s="22">
        <v>0.1</v>
      </c>
      <c r="J410" s="30">
        <f>ROUND(F410*G410*I410,2)</f>
        <v>0.18</v>
      </c>
      <c r="K410" s="8"/>
      <c r="L410" s="8"/>
      <c r="M410" s="8"/>
      <c r="N410" s="8"/>
    </row>
    <row r="411" spans="1:14" ht="15.4" customHeight="1" thickBot="1" x14ac:dyDescent="0.25">
      <c r="A411" s="8"/>
      <c r="B411" s="8"/>
      <c r="C411" s="8"/>
      <c r="D411" s="26"/>
      <c r="E411" s="6" t="s">
        <v>945</v>
      </c>
      <c r="F411" s="4">
        <v>1</v>
      </c>
      <c r="G411" s="22">
        <v>0.5</v>
      </c>
      <c r="H411" s="22"/>
      <c r="I411" s="22">
        <v>0.5</v>
      </c>
      <c r="J411" s="30">
        <f>ROUND(F411*G411*I411,2)</f>
        <v>0.25</v>
      </c>
      <c r="K411" s="8"/>
      <c r="L411" s="8"/>
      <c r="M411" s="8"/>
      <c r="N411" s="8"/>
    </row>
    <row r="412" spans="1:14" ht="15.4" customHeight="1" thickBot="1" x14ac:dyDescent="0.25">
      <c r="A412" s="8"/>
      <c r="B412" s="8"/>
      <c r="C412" s="8"/>
      <c r="D412" s="26"/>
      <c r="E412" s="6" t="s">
        <v>946</v>
      </c>
      <c r="F412" s="4">
        <v>1</v>
      </c>
      <c r="G412" s="22">
        <v>1.5</v>
      </c>
      <c r="H412" s="22"/>
      <c r="I412" s="22">
        <v>0.1</v>
      </c>
      <c r="J412" s="30">
        <f>ROUND(F412*G412*I412,2)</f>
        <v>0.15</v>
      </c>
      <c r="K412" s="32">
        <f>SUM(J408:J412)</f>
        <v>1.5499999999999998</v>
      </c>
      <c r="L412" s="8"/>
      <c r="M412" s="8"/>
      <c r="N412" s="8"/>
    </row>
    <row r="413" spans="1:14" ht="15.4" customHeight="1" thickBot="1" x14ac:dyDescent="0.25">
      <c r="A413" s="12" t="s">
        <v>947</v>
      </c>
      <c r="B413" s="6" t="s">
        <v>948</v>
      </c>
      <c r="C413" s="6" t="s">
        <v>949</v>
      </c>
      <c r="D413" s="60" t="s">
        <v>950</v>
      </c>
      <c r="E413" s="60"/>
      <c r="F413" s="60"/>
      <c r="G413" s="60"/>
      <c r="H413" s="60"/>
      <c r="I413" s="60"/>
      <c r="J413" s="60"/>
      <c r="K413" s="22">
        <f>SUM(K416:K445)</f>
        <v>1415.07</v>
      </c>
      <c r="L413" s="22">
        <f>ROUND(7.85*(1+M2/100),2)</f>
        <v>7.85</v>
      </c>
      <c r="M413" s="22">
        <f>ROUND(K413*L413,2)</f>
        <v>11108.3</v>
      </c>
      <c r="N413" s="8"/>
    </row>
    <row r="414" spans="1:14" ht="49.7" customHeight="1" thickBot="1" x14ac:dyDescent="0.25">
      <c r="A414" s="8"/>
      <c r="B414" s="8"/>
      <c r="C414" s="8"/>
      <c r="D414" s="60" t="s">
        <v>951</v>
      </c>
      <c r="E414" s="60"/>
      <c r="F414" s="60"/>
      <c r="G414" s="60"/>
      <c r="H414" s="60"/>
      <c r="I414" s="60"/>
      <c r="J414" s="60"/>
      <c r="K414" s="60"/>
      <c r="L414" s="60"/>
      <c r="M414" s="60"/>
      <c r="N414" s="8"/>
    </row>
    <row r="415" spans="1:14" ht="15.4" customHeight="1" thickBot="1" x14ac:dyDescent="0.25">
      <c r="A415" s="8"/>
      <c r="B415" s="8"/>
      <c r="C415" s="8"/>
      <c r="D415" s="8"/>
      <c r="E415" s="23"/>
      <c r="F415" s="25" t="s">
        <v>952</v>
      </c>
      <c r="G415" s="25" t="s">
        <v>953</v>
      </c>
      <c r="H415" s="25" t="s">
        <v>954</v>
      </c>
      <c r="I415" s="25" t="s">
        <v>955</v>
      </c>
      <c r="J415" s="25" t="s">
        <v>956</v>
      </c>
      <c r="K415" s="25" t="s">
        <v>957</v>
      </c>
      <c r="L415" s="8"/>
      <c r="M415" s="8"/>
      <c r="N415" s="8"/>
    </row>
    <row r="416" spans="1:14" ht="21.6" customHeight="1" thickBot="1" x14ac:dyDescent="0.25">
      <c r="A416" s="8"/>
      <c r="B416" s="8"/>
      <c r="C416" s="8"/>
      <c r="D416" s="26"/>
      <c r="E416" s="27" t="s">
        <v>958</v>
      </c>
      <c r="F416" s="28"/>
      <c r="G416" s="29"/>
      <c r="H416" s="29"/>
      <c r="I416" s="29"/>
      <c r="J416" s="34" t="s">
        <v>959</v>
      </c>
      <c r="K416" s="35"/>
      <c r="L416" s="8"/>
      <c r="M416" s="8"/>
      <c r="N416" s="8"/>
    </row>
    <row r="417" spans="1:14" ht="15.4" customHeight="1" thickBot="1" x14ac:dyDescent="0.25">
      <c r="A417" s="8"/>
      <c r="B417" s="8"/>
      <c r="C417" s="8"/>
      <c r="D417" s="26"/>
      <c r="E417" s="6" t="s">
        <v>960</v>
      </c>
      <c r="F417" s="4">
        <v>1</v>
      </c>
      <c r="G417" s="22">
        <v>14</v>
      </c>
      <c r="H417" s="22"/>
      <c r="I417" s="22">
        <v>2.4</v>
      </c>
      <c r="J417" s="30">
        <f>ROUND(F417*G417*I417,2)</f>
        <v>33.6</v>
      </c>
      <c r="K417" s="8"/>
      <c r="L417" s="8"/>
      <c r="M417" s="8"/>
      <c r="N417" s="8"/>
    </row>
    <row r="418" spans="1:14" ht="21.6" customHeight="1" thickBot="1" x14ac:dyDescent="0.25">
      <c r="A418" s="8"/>
      <c r="B418" s="8"/>
      <c r="C418" s="8"/>
      <c r="D418" s="26"/>
      <c r="E418" s="6" t="s">
        <v>961</v>
      </c>
      <c r="F418" s="4">
        <v>1</v>
      </c>
      <c r="G418" s="22">
        <v>16</v>
      </c>
      <c r="H418" s="22"/>
      <c r="I418" s="22">
        <v>2.8</v>
      </c>
      <c r="J418" s="30">
        <f>ROUND(F418*G418*I418,2)</f>
        <v>44.8</v>
      </c>
      <c r="K418" s="8"/>
      <c r="L418" s="8"/>
      <c r="M418" s="8"/>
      <c r="N418" s="8"/>
    </row>
    <row r="419" spans="1:14" ht="21.6" customHeight="1" thickBot="1" x14ac:dyDescent="0.25">
      <c r="A419" s="8"/>
      <c r="B419" s="8"/>
      <c r="C419" s="8"/>
      <c r="D419" s="26"/>
      <c r="E419" s="6" t="s">
        <v>962</v>
      </c>
      <c r="F419" s="4">
        <v>1</v>
      </c>
      <c r="G419" s="22">
        <v>3</v>
      </c>
      <c r="H419" s="22"/>
      <c r="I419" s="22">
        <v>2</v>
      </c>
      <c r="J419" s="30">
        <f>ROUND(F419*G419*I419,2)</f>
        <v>6</v>
      </c>
      <c r="K419" s="8"/>
      <c r="L419" s="8"/>
      <c r="M419" s="8"/>
      <c r="N419" s="8"/>
    </row>
    <row r="420" spans="1:14" ht="30.95" customHeight="1" thickBot="1" x14ac:dyDescent="0.25">
      <c r="A420" s="8"/>
      <c r="B420" s="8"/>
      <c r="C420" s="8"/>
      <c r="D420" s="26"/>
      <c r="E420" s="6" t="s">
        <v>963</v>
      </c>
      <c r="F420" s="4">
        <v>1</v>
      </c>
      <c r="G420" s="22">
        <v>15</v>
      </c>
      <c r="H420" s="22"/>
      <c r="I420" s="22">
        <v>2.8</v>
      </c>
      <c r="J420" s="30">
        <f>ROUND(F420*G420*I420,2)</f>
        <v>42</v>
      </c>
      <c r="K420" s="8"/>
      <c r="L420" s="8"/>
      <c r="M420" s="8"/>
      <c r="N420" s="8"/>
    </row>
    <row r="421" spans="1:14" ht="30.95" customHeight="1" thickBot="1" x14ac:dyDescent="0.25">
      <c r="A421" s="8"/>
      <c r="B421" s="8"/>
      <c r="C421" s="8"/>
      <c r="D421" s="26"/>
      <c r="E421" s="6" t="s">
        <v>964</v>
      </c>
      <c r="F421" s="4"/>
      <c r="G421" s="22"/>
      <c r="H421" s="22"/>
      <c r="I421" s="22"/>
      <c r="J421" s="24" t="s">
        <v>965</v>
      </c>
      <c r="K421" s="8"/>
      <c r="L421" s="8"/>
      <c r="M421" s="8"/>
      <c r="N421" s="8"/>
    </row>
    <row r="422" spans="1:14" ht="15.4" customHeight="1" thickBot="1" x14ac:dyDescent="0.25">
      <c r="A422" s="8"/>
      <c r="B422" s="8"/>
      <c r="C422" s="8"/>
      <c r="D422" s="26"/>
      <c r="E422" s="6" t="s">
        <v>966</v>
      </c>
      <c r="F422" s="4">
        <v>1</v>
      </c>
      <c r="G422" s="22">
        <v>3.1</v>
      </c>
      <c r="H422" s="22"/>
      <c r="I422" s="22">
        <v>2.8</v>
      </c>
      <c r="J422" s="30">
        <f>ROUND(F422*G422*I422,2)</f>
        <v>8.68</v>
      </c>
      <c r="K422" s="8"/>
      <c r="L422" s="8"/>
      <c r="M422" s="8"/>
      <c r="N422" s="8"/>
    </row>
    <row r="423" spans="1:14" ht="21.6" customHeight="1" thickBot="1" x14ac:dyDescent="0.25">
      <c r="A423" s="8"/>
      <c r="B423" s="8"/>
      <c r="C423" s="8"/>
      <c r="D423" s="26"/>
      <c r="E423" s="6" t="s">
        <v>967</v>
      </c>
      <c r="F423" s="4"/>
      <c r="G423" s="22"/>
      <c r="H423" s="22"/>
      <c r="I423" s="22"/>
      <c r="J423" s="24" t="s">
        <v>968</v>
      </c>
      <c r="K423" s="8"/>
      <c r="L423" s="8"/>
      <c r="M423" s="8"/>
      <c r="N423" s="8"/>
    </row>
    <row r="424" spans="1:14" ht="15.4" customHeight="1" thickBot="1" x14ac:dyDescent="0.25">
      <c r="A424" s="8"/>
      <c r="B424" s="8"/>
      <c r="C424" s="8"/>
      <c r="D424" s="26"/>
      <c r="E424" s="6" t="s">
        <v>969</v>
      </c>
      <c r="F424" s="4">
        <v>1</v>
      </c>
      <c r="G424" s="22">
        <v>12</v>
      </c>
      <c r="H424" s="22"/>
      <c r="I424" s="22">
        <v>2.8</v>
      </c>
      <c r="J424" s="30">
        <f t="shared" ref="J424:J445" si="6">ROUND(F424*G424*I424,2)</f>
        <v>33.6</v>
      </c>
      <c r="K424" s="8"/>
      <c r="L424" s="8"/>
      <c r="M424" s="8"/>
      <c r="N424" s="8"/>
    </row>
    <row r="425" spans="1:14" ht="15.4" customHeight="1" thickBot="1" x14ac:dyDescent="0.25">
      <c r="A425" s="8"/>
      <c r="B425" s="8"/>
      <c r="C425" s="8"/>
      <c r="D425" s="26"/>
      <c r="E425" s="6" t="s">
        <v>970</v>
      </c>
      <c r="F425" s="4">
        <v>1</v>
      </c>
      <c r="G425" s="22">
        <v>40</v>
      </c>
      <c r="H425" s="22"/>
      <c r="I425" s="22">
        <v>2.8</v>
      </c>
      <c r="J425" s="30">
        <f t="shared" si="6"/>
        <v>112</v>
      </c>
      <c r="K425" s="8"/>
      <c r="L425" s="8"/>
      <c r="M425" s="8"/>
      <c r="N425" s="8"/>
    </row>
    <row r="426" spans="1:14" ht="15.4" customHeight="1" thickBot="1" x14ac:dyDescent="0.25">
      <c r="A426" s="8"/>
      <c r="B426" s="8"/>
      <c r="C426" s="8"/>
      <c r="D426" s="26"/>
      <c r="E426" s="6" t="s">
        <v>971</v>
      </c>
      <c r="F426" s="4">
        <v>5</v>
      </c>
      <c r="G426" s="22">
        <v>3</v>
      </c>
      <c r="H426" s="22"/>
      <c r="I426" s="22">
        <v>2.8</v>
      </c>
      <c r="J426" s="30">
        <f t="shared" si="6"/>
        <v>42</v>
      </c>
      <c r="K426" s="8"/>
      <c r="L426" s="8"/>
      <c r="M426" s="8"/>
      <c r="N426" s="8"/>
    </row>
    <row r="427" spans="1:14" ht="15.4" customHeight="1" thickBot="1" x14ac:dyDescent="0.25">
      <c r="A427" s="8"/>
      <c r="B427" s="8"/>
      <c r="C427" s="8"/>
      <c r="D427" s="26"/>
      <c r="E427" s="6" t="s">
        <v>972</v>
      </c>
      <c r="F427" s="4">
        <v>3</v>
      </c>
      <c r="G427" s="22">
        <v>3</v>
      </c>
      <c r="H427" s="22"/>
      <c r="I427" s="22">
        <v>2.8</v>
      </c>
      <c r="J427" s="30">
        <f t="shared" si="6"/>
        <v>25.2</v>
      </c>
      <c r="K427" s="8"/>
      <c r="L427" s="8"/>
      <c r="M427" s="8"/>
      <c r="N427" s="8"/>
    </row>
    <row r="428" spans="1:14" ht="15.4" customHeight="1" thickBot="1" x14ac:dyDescent="0.25">
      <c r="A428" s="8"/>
      <c r="B428" s="8"/>
      <c r="C428" s="8"/>
      <c r="D428" s="26"/>
      <c r="E428" s="6" t="s">
        <v>973</v>
      </c>
      <c r="F428" s="4">
        <v>1</v>
      </c>
      <c r="G428" s="22">
        <v>13</v>
      </c>
      <c r="H428" s="22"/>
      <c r="I428" s="22">
        <v>2.8</v>
      </c>
      <c r="J428" s="30">
        <f t="shared" si="6"/>
        <v>36.4</v>
      </c>
      <c r="K428" s="8"/>
      <c r="L428" s="8"/>
      <c r="M428" s="8"/>
      <c r="N428" s="8"/>
    </row>
    <row r="429" spans="1:14" ht="15.4" customHeight="1" thickBot="1" x14ac:dyDescent="0.25">
      <c r="A429" s="8"/>
      <c r="B429" s="8"/>
      <c r="C429" s="8"/>
      <c r="D429" s="26"/>
      <c r="E429" s="6" t="s">
        <v>974</v>
      </c>
      <c r="F429" s="4">
        <v>1</v>
      </c>
      <c r="G429" s="22">
        <v>10</v>
      </c>
      <c r="H429" s="22"/>
      <c r="I429" s="22">
        <v>2.8</v>
      </c>
      <c r="J429" s="30">
        <f t="shared" si="6"/>
        <v>28</v>
      </c>
      <c r="K429" s="8"/>
      <c r="L429" s="8"/>
      <c r="M429" s="8"/>
      <c r="N429" s="8"/>
    </row>
    <row r="430" spans="1:14" ht="15.4" customHeight="1" thickBot="1" x14ac:dyDescent="0.25">
      <c r="A430" s="8"/>
      <c r="B430" s="8"/>
      <c r="C430" s="8"/>
      <c r="D430" s="26"/>
      <c r="E430" s="6" t="s">
        <v>975</v>
      </c>
      <c r="F430" s="4">
        <v>1</v>
      </c>
      <c r="G430" s="22">
        <v>14</v>
      </c>
      <c r="H430" s="22"/>
      <c r="I430" s="22">
        <v>0.5</v>
      </c>
      <c r="J430" s="30">
        <f t="shared" si="6"/>
        <v>7</v>
      </c>
      <c r="K430" s="8"/>
      <c r="L430" s="8"/>
      <c r="M430" s="8"/>
      <c r="N430" s="8"/>
    </row>
    <row r="431" spans="1:14" ht="15.4" customHeight="1" thickBot="1" x14ac:dyDescent="0.25">
      <c r="A431" s="8"/>
      <c r="B431" s="8"/>
      <c r="C431" s="8"/>
      <c r="D431" s="26"/>
      <c r="E431" s="6" t="s">
        <v>976</v>
      </c>
      <c r="F431" s="4">
        <v>1</v>
      </c>
      <c r="G431" s="22">
        <v>72</v>
      </c>
      <c r="H431" s="22"/>
      <c r="I431" s="22">
        <v>2.8</v>
      </c>
      <c r="J431" s="30">
        <f t="shared" si="6"/>
        <v>201.6</v>
      </c>
      <c r="K431" s="8"/>
      <c r="L431" s="8"/>
      <c r="M431" s="8"/>
      <c r="N431" s="8"/>
    </row>
    <row r="432" spans="1:14" ht="15.4" customHeight="1" thickBot="1" x14ac:dyDescent="0.25">
      <c r="A432" s="8"/>
      <c r="B432" s="8"/>
      <c r="C432" s="8"/>
      <c r="D432" s="26"/>
      <c r="E432" s="6" t="s">
        <v>977</v>
      </c>
      <c r="F432" s="4">
        <v>-1</v>
      </c>
      <c r="G432" s="22">
        <v>1.5</v>
      </c>
      <c r="H432" s="22"/>
      <c r="I432" s="22">
        <v>1.38</v>
      </c>
      <c r="J432" s="30">
        <f t="shared" si="6"/>
        <v>-2.0699999999999998</v>
      </c>
      <c r="K432" s="8"/>
      <c r="L432" s="8"/>
      <c r="M432" s="8"/>
      <c r="N432" s="8"/>
    </row>
    <row r="433" spans="1:14" ht="15.4" customHeight="1" thickBot="1" x14ac:dyDescent="0.25">
      <c r="A433" s="8"/>
      <c r="B433" s="8"/>
      <c r="C433" s="8"/>
      <c r="D433" s="26"/>
      <c r="E433" s="6" t="s">
        <v>978</v>
      </c>
      <c r="F433" s="4">
        <v>-1</v>
      </c>
      <c r="G433" s="22">
        <v>5.2</v>
      </c>
      <c r="H433" s="22"/>
      <c r="I433" s="22">
        <v>2.1</v>
      </c>
      <c r="J433" s="30">
        <f t="shared" si="6"/>
        <v>-10.92</v>
      </c>
      <c r="K433" s="8"/>
      <c r="L433" s="8"/>
      <c r="M433" s="8"/>
      <c r="N433" s="8"/>
    </row>
    <row r="434" spans="1:14" ht="21.6" customHeight="1" thickBot="1" x14ac:dyDescent="0.25">
      <c r="A434" s="8"/>
      <c r="B434" s="8"/>
      <c r="C434" s="8"/>
      <c r="D434" s="26"/>
      <c r="E434" s="6" t="s">
        <v>979</v>
      </c>
      <c r="F434" s="4">
        <v>1</v>
      </c>
      <c r="G434" s="22">
        <v>45</v>
      </c>
      <c r="H434" s="22"/>
      <c r="I434" s="22">
        <v>2.8</v>
      </c>
      <c r="J434" s="30">
        <f t="shared" si="6"/>
        <v>126</v>
      </c>
      <c r="K434" s="8"/>
      <c r="L434" s="8"/>
      <c r="M434" s="8"/>
      <c r="N434" s="8"/>
    </row>
    <row r="435" spans="1:14" ht="21.6" customHeight="1" thickBot="1" x14ac:dyDescent="0.25">
      <c r="A435" s="8"/>
      <c r="B435" s="8"/>
      <c r="C435" s="8"/>
      <c r="D435" s="26"/>
      <c r="E435" s="6" t="s">
        <v>980</v>
      </c>
      <c r="F435" s="4">
        <v>7</v>
      </c>
      <c r="G435" s="22">
        <v>3</v>
      </c>
      <c r="H435" s="22"/>
      <c r="I435" s="22">
        <v>2.8</v>
      </c>
      <c r="J435" s="30">
        <f t="shared" si="6"/>
        <v>58.8</v>
      </c>
      <c r="K435" s="8"/>
      <c r="L435" s="8"/>
      <c r="M435" s="8"/>
      <c r="N435" s="8"/>
    </row>
    <row r="436" spans="1:14" ht="15.4" customHeight="1" thickBot="1" x14ac:dyDescent="0.25">
      <c r="A436" s="8"/>
      <c r="B436" s="8"/>
      <c r="C436" s="8"/>
      <c r="D436" s="26"/>
      <c r="E436" s="6"/>
      <c r="F436" s="4">
        <v>2</v>
      </c>
      <c r="G436" s="22">
        <v>3.9</v>
      </c>
      <c r="H436" s="22"/>
      <c r="I436" s="22">
        <v>2.8</v>
      </c>
      <c r="J436" s="30">
        <f t="shared" si="6"/>
        <v>21.84</v>
      </c>
      <c r="K436" s="8"/>
      <c r="L436" s="8"/>
      <c r="M436" s="8"/>
      <c r="N436" s="8"/>
    </row>
    <row r="437" spans="1:14" ht="21.6" customHeight="1" thickBot="1" x14ac:dyDescent="0.25">
      <c r="A437" s="8"/>
      <c r="B437" s="8"/>
      <c r="C437" s="8"/>
      <c r="D437" s="26"/>
      <c r="E437" s="6" t="s">
        <v>981</v>
      </c>
      <c r="F437" s="4">
        <v>1</v>
      </c>
      <c r="G437" s="22">
        <v>18</v>
      </c>
      <c r="H437" s="22"/>
      <c r="I437" s="22">
        <v>1.6</v>
      </c>
      <c r="J437" s="30">
        <f t="shared" si="6"/>
        <v>28.8</v>
      </c>
      <c r="K437" s="8"/>
      <c r="L437" s="8"/>
      <c r="M437" s="8"/>
      <c r="N437" s="8"/>
    </row>
    <row r="438" spans="1:14" ht="15.4" customHeight="1" thickBot="1" x14ac:dyDescent="0.25">
      <c r="A438" s="8"/>
      <c r="B438" s="8"/>
      <c r="C438" s="8"/>
      <c r="D438" s="26"/>
      <c r="E438" s="6" t="s">
        <v>982</v>
      </c>
      <c r="F438" s="4">
        <v>1</v>
      </c>
      <c r="G438" s="22">
        <v>0.6</v>
      </c>
      <c r="H438" s="22"/>
      <c r="I438" s="22">
        <v>1.8</v>
      </c>
      <c r="J438" s="30">
        <f t="shared" si="6"/>
        <v>1.08</v>
      </c>
      <c r="K438" s="8"/>
      <c r="L438" s="8"/>
      <c r="M438" s="8"/>
      <c r="N438" s="8"/>
    </row>
    <row r="439" spans="1:14" ht="15.4" customHeight="1" thickBot="1" x14ac:dyDescent="0.25">
      <c r="A439" s="8"/>
      <c r="B439" s="8"/>
      <c r="C439" s="8"/>
      <c r="D439" s="26"/>
      <c r="E439" s="6" t="s">
        <v>983</v>
      </c>
      <c r="F439" s="4">
        <v>1</v>
      </c>
      <c r="G439" s="22">
        <v>95</v>
      </c>
      <c r="H439" s="22"/>
      <c r="I439" s="22">
        <v>2.8</v>
      </c>
      <c r="J439" s="30">
        <f t="shared" si="6"/>
        <v>266</v>
      </c>
      <c r="K439" s="8"/>
      <c r="L439" s="8"/>
      <c r="M439" s="8"/>
      <c r="N439" s="8"/>
    </row>
    <row r="440" spans="1:14" ht="15.4" customHeight="1" thickBot="1" x14ac:dyDescent="0.25">
      <c r="A440" s="8"/>
      <c r="B440" s="8"/>
      <c r="C440" s="8"/>
      <c r="D440" s="26"/>
      <c r="E440" s="6" t="s">
        <v>984</v>
      </c>
      <c r="F440" s="4">
        <v>10</v>
      </c>
      <c r="G440" s="22">
        <v>2.8</v>
      </c>
      <c r="H440" s="22"/>
      <c r="I440" s="22">
        <v>2.4</v>
      </c>
      <c r="J440" s="30">
        <f t="shared" si="6"/>
        <v>67.2</v>
      </c>
      <c r="K440" s="8"/>
      <c r="L440" s="8"/>
      <c r="M440" s="8"/>
      <c r="N440" s="8"/>
    </row>
    <row r="441" spans="1:14" ht="15.4" customHeight="1" thickBot="1" x14ac:dyDescent="0.25">
      <c r="A441" s="8"/>
      <c r="B441" s="8"/>
      <c r="C441" s="8"/>
      <c r="D441" s="26"/>
      <c r="E441" s="6" t="s">
        <v>985</v>
      </c>
      <c r="F441" s="4">
        <v>1</v>
      </c>
      <c r="G441" s="22">
        <v>48.9</v>
      </c>
      <c r="H441" s="22"/>
      <c r="I441" s="22">
        <v>2.8</v>
      </c>
      <c r="J441" s="30">
        <f t="shared" si="6"/>
        <v>136.91999999999999</v>
      </c>
      <c r="K441" s="8"/>
      <c r="L441" s="8"/>
      <c r="M441" s="8"/>
      <c r="N441" s="8"/>
    </row>
    <row r="442" spans="1:14" ht="15.4" customHeight="1" thickBot="1" x14ac:dyDescent="0.25">
      <c r="A442" s="8"/>
      <c r="B442" s="8"/>
      <c r="C442" s="8"/>
      <c r="D442" s="26"/>
      <c r="E442" s="6" t="s">
        <v>986</v>
      </c>
      <c r="F442" s="4">
        <v>3</v>
      </c>
      <c r="G442" s="22">
        <v>3</v>
      </c>
      <c r="H442" s="22"/>
      <c r="I442" s="22">
        <v>2.8</v>
      </c>
      <c r="J442" s="30">
        <f t="shared" si="6"/>
        <v>25.2</v>
      </c>
      <c r="K442" s="8"/>
      <c r="L442" s="8"/>
      <c r="M442" s="8"/>
      <c r="N442" s="8"/>
    </row>
    <row r="443" spans="1:14" ht="15.4" customHeight="1" thickBot="1" x14ac:dyDescent="0.25">
      <c r="A443" s="8"/>
      <c r="B443" s="8"/>
      <c r="C443" s="8"/>
      <c r="D443" s="26"/>
      <c r="E443" s="6" t="s">
        <v>987</v>
      </c>
      <c r="F443" s="4">
        <v>-1</v>
      </c>
      <c r="G443" s="22">
        <v>3.27</v>
      </c>
      <c r="H443" s="22"/>
      <c r="I443" s="22">
        <v>2.2799999999999998</v>
      </c>
      <c r="J443" s="30">
        <f t="shared" si="6"/>
        <v>-7.46</v>
      </c>
      <c r="K443" s="8"/>
      <c r="L443" s="8"/>
      <c r="M443" s="8"/>
      <c r="N443" s="8"/>
    </row>
    <row r="444" spans="1:14" ht="15.4" customHeight="1" thickBot="1" x14ac:dyDescent="0.25">
      <c r="A444" s="8"/>
      <c r="B444" s="8"/>
      <c r="C444" s="8"/>
      <c r="D444" s="26"/>
      <c r="E444" s="6" t="s">
        <v>988</v>
      </c>
      <c r="F444" s="4">
        <v>1</v>
      </c>
      <c r="G444" s="22">
        <v>28.5</v>
      </c>
      <c r="H444" s="22"/>
      <c r="I444" s="22">
        <v>2.8</v>
      </c>
      <c r="J444" s="30">
        <f t="shared" si="6"/>
        <v>79.8</v>
      </c>
      <c r="K444" s="8"/>
      <c r="L444" s="8"/>
      <c r="M444" s="8"/>
      <c r="N444" s="8"/>
    </row>
    <row r="445" spans="1:14" ht="15.4" customHeight="1" thickBot="1" x14ac:dyDescent="0.25">
      <c r="A445" s="8"/>
      <c r="B445" s="8"/>
      <c r="C445" s="8"/>
      <c r="D445" s="26"/>
      <c r="E445" s="6" t="s">
        <v>989</v>
      </c>
      <c r="F445" s="4">
        <v>1</v>
      </c>
      <c r="G445" s="22">
        <v>3</v>
      </c>
      <c r="H445" s="22"/>
      <c r="I445" s="22">
        <v>1</v>
      </c>
      <c r="J445" s="30">
        <f t="shared" si="6"/>
        <v>3</v>
      </c>
      <c r="K445" s="32">
        <f>SUM(J416:J445)</f>
        <v>1415.07</v>
      </c>
      <c r="L445" s="8"/>
      <c r="M445" s="8"/>
      <c r="N445" s="8"/>
    </row>
    <row r="446" spans="1:14" ht="15.4" customHeight="1" thickBot="1" x14ac:dyDescent="0.25">
      <c r="A446" s="12" t="s">
        <v>990</v>
      </c>
      <c r="B446" s="6" t="s">
        <v>991</v>
      </c>
      <c r="C446" s="6" t="s">
        <v>992</v>
      </c>
      <c r="D446" s="60" t="s">
        <v>993</v>
      </c>
      <c r="E446" s="60"/>
      <c r="F446" s="60"/>
      <c r="G446" s="60"/>
      <c r="H446" s="60"/>
      <c r="I446" s="60"/>
      <c r="J446" s="60"/>
      <c r="K446" s="22">
        <f>SUM(K449:K450)</f>
        <v>1200</v>
      </c>
      <c r="L446" s="22">
        <f>ROUND(7.85*(1+M2/100),2)</f>
        <v>7.85</v>
      </c>
      <c r="M446" s="22">
        <f>ROUND(K446*L446,2)</f>
        <v>9420</v>
      </c>
      <c r="N446" s="8"/>
    </row>
    <row r="447" spans="1:14" ht="68.45" customHeight="1" thickBot="1" x14ac:dyDescent="0.25">
      <c r="A447" s="8"/>
      <c r="B447" s="8"/>
      <c r="C447" s="8"/>
      <c r="D447" s="60" t="s">
        <v>994</v>
      </c>
      <c r="E447" s="60"/>
      <c r="F447" s="60"/>
      <c r="G447" s="60"/>
      <c r="H447" s="60"/>
      <c r="I447" s="60"/>
      <c r="J447" s="60"/>
      <c r="K447" s="60"/>
      <c r="L447" s="60"/>
      <c r="M447" s="60"/>
      <c r="N447" s="8"/>
    </row>
    <row r="448" spans="1:14" ht="15.4" customHeight="1" thickBot="1" x14ac:dyDescent="0.25">
      <c r="A448" s="8"/>
      <c r="B448" s="8"/>
      <c r="C448" s="8"/>
      <c r="D448" s="8"/>
      <c r="E448" s="23"/>
      <c r="F448" s="25" t="s">
        <v>995</v>
      </c>
      <c r="G448" s="25" t="s">
        <v>996</v>
      </c>
      <c r="H448" s="25" t="s">
        <v>997</v>
      </c>
      <c r="I448" s="25" t="s">
        <v>998</v>
      </c>
      <c r="J448" s="25" t="s">
        <v>999</v>
      </c>
      <c r="K448" s="25" t="s">
        <v>1000</v>
      </c>
      <c r="L448" s="8"/>
      <c r="M448" s="8"/>
      <c r="N448" s="8"/>
    </row>
    <row r="449" spans="1:14" ht="30.95" customHeight="1" thickBot="1" x14ac:dyDescent="0.25">
      <c r="A449" s="8"/>
      <c r="B449" s="8"/>
      <c r="C449" s="8"/>
      <c r="D449" s="26"/>
      <c r="E449" s="27" t="s">
        <v>1001</v>
      </c>
      <c r="F449" s="28"/>
      <c r="G449" s="29"/>
      <c r="H449" s="29"/>
      <c r="I449" s="29"/>
      <c r="J449" s="34" t="s">
        <v>1002</v>
      </c>
      <c r="K449" s="35"/>
      <c r="L449" s="8"/>
      <c r="M449" s="8"/>
      <c r="N449" s="8"/>
    </row>
    <row r="450" spans="1:14" ht="15.4" customHeight="1" thickBot="1" x14ac:dyDescent="0.25">
      <c r="A450" s="8"/>
      <c r="B450" s="8"/>
      <c r="C450" s="8"/>
      <c r="D450" s="26"/>
      <c r="E450" s="6"/>
      <c r="F450" s="4">
        <v>1</v>
      </c>
      <c r="G450" s="22">
        <v>1200</v>
      </c>
      <c r="H450" s="22"/>
      <c r="I450" s="22"/>
      <c r="J450" s="30">
        <f>ROUND(F450*G450,2)</f>
        <v>1200</v>
      </c>
      <c r="K450" s="32">
        <f>SUM(J449:J450)</f>
        <v>1200</v>
      </c>
      <c r="L450" s="8"/>
      <c r="M450" s="8"/>
      <c r="N450" s="8"/>
    </row>
    <row r="451" spans="1:14" ht="15.4" customHeight="1" thickBot="1" x14ac:dyDescent="0.25">
      <c r="A451" s="12" t="s">
        <v>1003</v>
      </c>
      <c r="B451" s="6" t="s">
        <v>1004</v>
      </c>
      <c r="C451" s="6" t="s">
        <v>1005</v>
      </c>
      <c r="D451" s="60" t="s">
        <v>1006</v>
      </c>
      <c r="E451" s="60"/>
      <c r="F451" s="60"/>
      <c r="G451" s="60"/>
      <c r="H451" s="60"/>
      <c r="I451" s="60"/>
      <c r="J451" s="60"/>
      <c r="K451" s="22">
        <f>SUM(K454:K462)</f>
        <v>194.5</v>
      </c>
      <c r="L451" s="22">
        <f>ROUND(9.04*(1+M2/100),2)</f>
        <v>9.0399999999999991</v>
      </c>
      <c r="M451" s="22">
        <f>ROUND(K451*L451,2)</f>
        <v>1758.28</v>
      </c>
      <c r="N451" s="8"/>
    </row>
    <row r="452" spans="1:14" ht="68.45" customHeight="1" thickBot="1" x14ac:dyDescent="0.25">
      <c r="A452" s="8"/>
      <c r="B452" s="8"/>
      <c r="C452" s="8"/>
      <c r="D452" s="60" t="s">
        <v>1007</v>
      </c>
      <c r="E452" s="60"/>
      <c r="F452" s="60"/>
      <c r="G452" s="60"/>
      <c r="H452" s="60"/>
      <c r="I452" s="60"/>
      <c r="J452" s="60"/>
      <c r="K452" s="60"/>
      <c r="L452" s="60"/>
      <c r="M452" s="60"/>
      <c r="N452" s="8"/>
    </row>
    <row r="453" spans="1:14" ht="15.4" customHeight="1" thickBot="1" x14ac:dyDescent="0.25">
      <c r="A453" s="8"/>
      <c r="B453" s="8"/>
      <c r="C453" s="8"/>
      <c r="D453" s="8"/>
      <c r="E453" s="23"/>
      <c r="F453" s="25" t="s">
        <v>1008</v>
      </c>
      <c r="G453" s="25" t="s">
        <v>1009</v>
      </c>
      <c r="H453" s="25" t="s">
        <v>1010</v>
      </c>
      <c r="I453" s="25" t="s">
        <v>1011</v>
      </c>
      <c r="J453" s="25" t="s">
        <v>1012</v>
      </c>
      <c r="K453" s="25" t="s">
        <v>1013</v>
      </c>
      <c r="L453" s="8"/>
      <c r="M453" s="8"/>
      <c r="N453" s="8"/>
    </row>
    <row r="454" spans="1:14" ht="30.95" customHeight="1" thickBot="1" x14ac:dyDescent="0.25">
      <c r="A454" s="8"/>
      <c r="B454" s="8"/>
      <c r="C454" s="8"/>
      <c r="D454" s="26"/>
      <c r="E454" s="27" t="s">
        <v>1014</v>
      </c>
      <c r="F454" s="28"/>
      <c r="G454" s="29"/>
      <c r="H454" s="29"/>
      <c r="I454" s="29"/>
      <c r="J454" s="34" t="s">
        <v>1015</v>
      </c>
      <c r="K454" s="35"/>
      <c r="L454" s="8"/>
      <c r="M454" s="8"/>
      <c r="N454" s="8"/>
    </row>
    <row r="455" spans="1:14" ht="21.6" customHeight="1" thickBot="1" x14ac:dyDescent="0.25">
      <c r="A455" s="8"/>
      <c r="B455" s="8"/>
      <c r="C455" s="8"/>
      <c r="D455" s="26"/>
      <c r="E455" s="6" t="s">
        <v>1016</v>
      </c>
      <c r="F455" s="4">
        <v>100</v>
      </c>
      <c r="G455" s="22"/>
      <c r="H455" s="22"/>
      <c r="I455" s="22"/>
      <c r="J455" s="30">
        <f>ROUND(F455,2)</f>
        <v>100</v>
      </c>
      <c r="K455" s="8"/>
      <c r="L455" s="8"/>
      <c r="M455" s="8"/>
      <c r="N455" s="8"/>
    </row>
    <row r="456" spans="1:14" ht="21.6" customHeight="1" thickBot="1" x14ac:dyDescent="0.25">
      <c r="A456" s="8"/>
      <c r="B456" s="8"/>
      <c r="C456" s="8"/>
      <c r="D456" s="26"/>
      <c r="E456" s="6" t="s">
        <v>1017</v>
      </c>
      <c r="F456" s="4">
        <v>1</v>
      </c>
      <c r="G456" s="22">
        <v>1.8</v>
      </c>
      <c r="H456" s="22"/>
      <c r="I456" s="22">
        <v>2.5</v>
      </c>
      <c r="J456" s="30">
        <f>ROUND(F456*G456*I456,2)</f>
        <v>4.5</v>
      </c>
      <c r="K456" s="8"/>
      <c r="L456" s="8"/>
      <c r="M456" s="8"/>
      <c r="N456" s="8"/>
    </row>
    <row r="457" spans="1:14" ht="30.95" customHeight="1" thickBot="1" x14ac:dyDescent="0.25">
      <c r="A457" s="8"/>
      <c r="B457" s="8"/>
      <c r="C457" s="8"/>
      <c r="D457" s="26"/>
      <c r="E457" s="6" t="s">
        <v>1018</v>
      </c>
      <c r="F457" s="4">
        <v>2</v>
      </c>
      <c r="G457" s="22">
        <v>3.6</v>
      </c>
      <c r="H457" s="22"/>
      <c r="I457" s="22">
        <v>2.5</v>
      </c>
      <c r="J457" s="30">
        <f>ROUND(F457*G457*I457,2)</f>
        <v>18</v>
      </c>
      <c r="K457" s="8"/>
      <c r="L457" s="8"/>
      <c r="M457" s="8"/>
      <c r="N457" s="8"/>
    </row>
    <row r="458" spans="1:14" ht="21.6" customHeight="1" thickBot="1" x14ac:dyDescent="0.25">
      <c r="A458" s="8"/>
      <c r="B458" s="8"/>
      <c r="C458" s="8"/>
      <c r="D458" s="26"/>
      <c r="E458" s="6" t="s">
        <v>1019</v>
      </c>
      <c r="F458" s="4">
        <v>2</v>
      </c>
      <c r="G458" s="22"/>
      <c r="H458" s="22"/>
      <c r="I458" s="22"/>
      <c r="J458" s="30">
        <f>ROUND(F458,2)</f>
        <v>2</v>
      </c>
      <c r="K458" s="8"/>
      <c r="L458" s="8"/>
      <c r="M458" s="8"/>
      <c r="N458" s="8"/>
    </row>
    <row r="459" spans="1:14" ht="30.95" customHeight="1" thickBot="1" x14ac:dyDescent="0.25">
      <c r="A459" s="8"/>
      <c r="B459" s="8"/>
      <c r="C459" s="8"/>
      <c r="D459" s="26"/>
      <c r="E459" s="6" t="s">
        <v>1020</v>
      </c>
      <c r="F459" s="4">
        <v>2.5</v>
      </c>
      <c r="G459" s="22"/>
      <c r="H459" s="22"/>
      <c r="I459" s="22"/>
      <c r="J459" s="30">
        <f>ROUND(F459,2)</f>
        <v>2.5</v>
      </c>
      <c r="K459" s="8"/>
      <c r="L459" s="8"/>
      <c r="M459" s="8"/>
      <c r="N459" s="8"/>
    </row>
    <row r="460" spans="1:14" ht="30.95" customHeight="1" thickBot="1" x14ac:dyDescent="0.25">
      <c r="A460" s="8"/>
      <c r="B460" s="8"/>
      <c r="C460" s="8"/>
      <c r="D460" s="26"/>
      <c r="E460" s="6" t="s">
        <v>1021</v>
      </c>
      <c r="F460" s="4">
        <v>2</v>
      </c>
      <c r="G460" s="22"/>
      <c r="H460" s="22"/>
      <c r="I460" s="22"/>
      <c r="J460" s="30">
        <f>ROUND(F460,2)</f>
        <v>2</v>
      </c>
      <c r="K460" s="8"/>
      <c r="L460" s="8"/>
      <c r="M460" s="8"/>
      <c r="N460" s="8"/>
    </row>
    <row r="461" spans="1:14" ht="21.6" customHeight="1" thickBot="1" x14ac:dyDescent="0.25">
      <c r="A461" s="8"/>
      <c r="B461" s="8"/>
      <c r="C461" s="8"/>
      <c r="D461" s="26"/>
      <c r="E461" s="6" t="s">
        <v>1022</v>
      </c>
      <c r="F461" s="4">
        <v>5.5</v>
      </c>
      <c r="G461" s="22"/>
      <c r="H461" s="22"/>
      <c r="I461" s="22"/>
      <c r="J461" s="30">
        <f>ROUND(F461,2)</f>
        <v>5.5</v>
      </c>
      <c r="K461" s="8"/>
      <c r="L461" s="8"/>
      <c r="M461" s="8"/>
      <c r="N461" s="8"/>
    </row>
    <row r="462" spans="1:14" ht="21.6" customHeight="1" thickBot="1" x14ac:dyDescent="0.25">
      <c r="A462" s="8"/>
      <c r="B462" s="8"/>
      <c r="C462" s="8"/>
      <c r="D462" s="26"/>
      <c r="E462" s="6" t="s">
        <v>1023</v>
      </c>
      <c r="F462" s="4">
        <v>60</v>
      </c>
      <c r="G462" s="22"/>
      <c r="H462" s="22"/>
      <c r="I462" s="22"/>
      <c r="J462" s="30">
        <f>ROUND(F462,2)</f>
        <v>60</v>
      </c>
      <c r="K462" s="32">
        <f>SUM(J454:J462)</f>
        <v>194.5</v>
      </c>
      <c r="L462" s="8"/>
      <c r="M462" s="8"/>
      <c r="N462" s="8"/>
    </row>
    <row r="463" spans="1:14" ht="15.4" customHeight="1" thickBot="1" x14ac:dyDescent="0.25">
      <c r="A463" s="12" t="s">
        <v>1024</v>
      </c>
      <c r="B463" s="6" t="s">
        <v>1025</v>
      </c>
      <c r="C463" s="6" t="s">
        <v>1026</v>
      </c>
      <c r="D463" s="60" t="s">
        <v>1027</v>
      </c>
      <c r="E463" s="60"/>
      <c r="F463" s="60"/>
      <c r="G463" s="60"/>
      <c r="H463" s="60"/>
      <c r="I463" s="60"/>
      <c r="J463" s="60"/>
      <c r="K463" s="22">
        <f>SUM(K466:K478)</f>
        <v>113.89</v>
      </c>
      <c r="L463" s="22">
        <f>ROUND(13.09*(1+M2/100),2)</f>
        <v>13.09</v>
      </c>
      <c r="M463" s="22">
        <f>ROUND(K463*L463,2)</f>
        <v>1490.82</v>
      </c>
      <c r="N463" s="8"/>
    </row>
    <row r="464" spans="1:14" ht="68.45" customHeight="1" thickBot="1" x14ac:dyDescent="0.25">
      <c r="A464" s="8"/>
      <c r="B464" s="8"/>
      <c r="C464" s="8"/>
      <c r="D464" s="60" t="s">
        <v>1028</v>
      </c>
      <c r="E464" s="60"/>
      <c r="F464" s="60"/>
      <c r="G464" s="60"/>
      <c r="H464" s="60"/>
      <c r="I464" s="60"/>
      <c r="J464" s="60"/>
      <c r="K464" s="60"/>
      <c r="L464" s="60"/>
      <c r="M464" s="60"/>
      <c r="N464" s="8"/>
    </row>
    <row r="465" spans="1:14" ht="15.4" customHeight="1" thickBot="1" x14ac:dyDescent="0.25">
      <c r="A465" s="8"/>
      <c r="B465" s="8"/>
      <c r="C465" s="8"/>
      <c r="D465" s="8"/>
      <c r="E465" s="23"/>
      <c r="F465" s="25" t="s">
        <v>1029</v>
      </c>
      <c r="G465" s="25" t="s">
        <v>1030</v>
      </c>
      <c r="H465" s="25" t="s">
        <v>1031</v>
      </c>
      <c r="I465" s="25" t="s">
        <v>1032</v>
      </c>
      <c r="J465" s="25" t="s">
        <v>1033</v>
      </c>
      <c r="K465" s="25" t="s">
        <v>1034</v>
      </c>
      <c r="L465" s="8"/>
      <c r="M465" s="8"/>
      <c r="N465" s="8"/>
    </row>
    <row r="466" spans="1:14" ht="21.6" customHeight="1" thickBot="1" x14ac:dyDescent="0.25">
      <c r="A466" s="8"/>
      <c r="B466" s="8"/>
      <c r="C466" s="8"/>
      <c r="D466" s="26"/>
      <c r="E466" s="27" t="s">
        <v>1035</v>
      </c>
      <c r="F466" s="28"/>
      <c r="G466" s="29"/>
      <c r="H466" s="29"/>
      <c r="I466" s="29"/>
      <c r="J466" s="34" t="s">
        <v>1036</v>
      </c>
      <c r="K466" s="35"/>
      <c r="L466" s="8"/>
      <c r="M466" s="8"/>
      <c r="N466" s="8"/>
    </row>
    <row r="467" spans="1:14" ht="21.6" customHeight="1" thickBot="1" x14ac:dyDescent="0.25">
      <c r="A467" s="8"/>
      <c r="B467" s="8"/>
      <c r="C467" s="8"/>
      <c r="D467" s="26"/>
      <c r="E467" s="6" t="s">
        <v>1037</v>
      </c>
      <c r="F467" s="4">
        <v>2</v>
      </c>
      <c r="G467" s="22">
        <v>7.1</v>
      </c>
      <c r="H467" s="22"/>
      <c r="I467" s="22"/>
      <c r="J467" s="30">
        <f t="shared" ref="J467:J474" si="7">ROUND(F467*G467,2)</f>
        <v>14.2</v>
      </c>
      <c r="K467" s="8"/>
      <c r="L467" s="8"/>
      <c r="M467" s="8"/>
      <c r="N467" s="8"/>
    </row>
    <row r="468" spans="1:14" ht="15.4" customHeight="1" thickBot="1" x14ac:dyDescent="0.25">
      <c r="A468" s="8"/>
      <c r="B468" s="8"/>
      <c r="C468" s="8"/>
      <c r="D468" s="26"/>
      <c r="E468" s="6"/>
      <c r="F468" s="4">
        <v>3</v>
      </c>
      <c r="G468" s="22">
        <v>7</v>
      </c>
      <c r="H468" s="22"/>
      <c r="I468" s="22"/>
      <c r="J468" s="30">
        <f t="shared" si="7"/>
        <v>21</v>
      </c>
      <c r="K468" s="8"/>
      <c r="L468" s="8"/>
      <c r="M468" s="8"/>
      <c r="N468" s="8"/>
    </row>
    <row r="469" spans="1:14" ht="15.4" customHeight="1" thickBot="1" x14ac:dyDescent="0.25">
      <c r="A469" s="8"/>
      <c r="B469" s="8"/>
      <c r="C469" s="8"/>
      <c r="D469" s="26"/>
      <c r="E469" s="6"/>
      <c r="F469" s="4">
        <v>3</v>
      </c>
      <c r="G469" s="22">
        <v>8.9</v>
      </c>
      <c r="H469" s="22"/>
      <c r="I469" s="22"/>
      <c r="J469" s="30">
        <f t="shared" si="7"/>
        <v>26.7</v>
      </c>
      <c r="K469" s="8"/>
      <c r="L469" s="8"/>
      <c r="M469" s="8"/>
      <c r="N469" s="8"/>
    </row>
    <row r="470" spans="1:14" ht="15.4" customHeight="1" thickBot="1" x14ac:dyDescent="0.25">
      <c r="A470" s="8"/>
      <c r="B470" s="8"/>
      <c r="C470" s="8"/>
      <c r="D470" s="26"/>
      <c r="E470" s="6"/>
      <c r="F470" s="4">
        <v>1</v>
      </c>
      <c r="G470" s="22">
        <v>7</v>
      </c>
      <c r="H470" s="22"/>
      <c r="I470" s="22"/>
      <c r="J470" s="30">
        <f t="shared" si="7"/>
        <v>7</v>
      </c>
      <c r="K470" s="8"/>
      <c r="L470" s="8"/>
      <c r="M470" s="8"/>
      <c r="N470" s="8"/>
    </row>
    <row r="471" spans="1:14" ht="15.4" customHeight="1" thickBot="1" x14ac:dyDescent="0.25">
      <c r="A471" s="8"/>
      <c r="B471" s="8"/>
      <c r="C471" s="8"/>
      <c r="D471" s="26"/>
      <c r="E471" s="6"/>
      <c r="F471" s="4">
        <v>1</v>
      </c>
      <c r="G471" s="22">
        <v>5.8</v>
      </c>
      <c r="H471" s="22"/>
      <c r="I471" s="22"/>
      <c r="J471" s="30">
        <f t="shared" si="7"/>
        <v>5.8</v>
      </c>
      <c r="K471" s="8"/>
      <c r="L471" s="8"/>
      <c r="M471" s="8"/>
      <c r="N471" s="8"/>
    </row>
    <row r="472" spans="1:14" ht="15.4" customHeight="1" thickBot="1" x14ac:dyDescent="0.25">
      <c r="A472" s="8"/>
      <c r="B472" s="8"/>
      <c r="C472" s="8"/>
      <c r="D472" s="26"/>
      <c r="E472" s="6"/>
      <c r="F472" s="4">
        <v>1</v>
      </c>
      <c r="G472" s="22">
        <v>10</v>
      </c>
      <c r="H472" s="22"/>
      <c r="I472" s="22"/>
      <c r="J472" s="30">
        <f t="shared" si="7"/>
        <v>10</v>
      </c>
      <c r="K472" s="8"/>
      <c r="L472" s="8"/>
      <c r="M472" s="8"/>
      <c r="N472" s="8"/>
    </row>
    <row r="473" spans="1:14" ht="15.4" customHeight="1" thickBot="1" x14ac:dyDescent="0.25">
      <c r="A473" s="8"/>
      <c r="B473" s="8"/>
      <c r="C473" s="8"/>
      <c r="D473" s="26"/>
      <c r="E473" s="6"/>
      <c r="F473" s="4">
        <v>1</v>
      </c>
      <c r="G473" s="22">
        <v>6.8</v>
      </c>
      <c r="H473" s="22"/>
      <c r="I473" s="22"/>
      <c r="J473" s="30">
        <f t="shared" si="7"/>
        <v>6.8</v>
      </c>
      <c r="K473" s="8"/>
      <c r="L473" s="8"/>
      <c r="M473" s="8"/>
      <c r="N473" s="8"/>
    </row>
    <row r="474" spans="1:14" ht="21.6" customHeight="1" thickBot="1" x14ac:dyDescent="0.25">
      <c r="A474" s="8"/>
      <c r="B474" s="8"/>
      <c r="C474" s="8"/>
      <c r="D474" s="26"/>
      <c r="E474" s="6" t="s">
        <v>1038</v>
      </c>
      <c r="F474" s="4">
        <v>2</v>
      </c>
      <c r="G474" s="22">
        <v>2.6</v>
      </c>
      <c r="H474" s="22"/>
      <c r="I474" s="22"/>
      <c r="J474" s="30">
        <f t="shared" si="7"/>
        <v>5.2</v>
      </c>
      <c r="K474" s="8"/>
      <c r="L474" s="8"/>
      <c r="M474" s="8"/>
      <c r="N474" s="8"/>
    </row>
    <row r="475" spans="1:14" ht="21.6" customHeight="1" thickBot="1" x14ac:dyDescent="0.25">
      <c r="A475" s="8"/>
      <c r="B475" s="8"/>
      <c r="C475" s="8"/>
      <c r="D475" s="26"/>
      <c r="E475" s="6" t="s">
        <v>1039</v>
      </c>
      <c r="F475" s="4">
        <v>2</v>
      </c>
      <c r="G475" s="22">
        <v>1.9</v>
      </c>
      <c r="H475" s="22"/>
      <c r="I475" s="22">
        <v>2.17</v>
      </c>
      <c r="J475" s="30">
        <f>ROUND(F475*G475*I475,2)</f>
        <v>8.25</v>
      </c>
      <c r="K475" s="8"/>
      <c r="L475" s="8"/>
      <c r="M475" s="8"/>
      <c r="N475" s="8"/>
    </row>
    <row r="476" spans="1:14" ht="15.4" customHeight="1" thickBot="1" x14ac:dyDescent="0.25">
      <c r="A476" s="8"/>
      <c r="B476" s="8"/>
      <c r="C476" s="8"/>
      <c r="D476" s="26"/>
      <c r="E476" s="6" t="s">
        <v>1040</v>
      </c>
      <c r="F476" s="4">
        <v>1</v>
      </c>
      <c r="G476" s="22">
        <v>1.2</v>
      </c>
      <c r="H476" s="22"/>
      <c r="I476" s="22">
        <v>2.17</v>
      </c>
      <c r="J476" s="30">
        <f>ROUND(F476*G476*I476,2)</f>
        <v>2.6</v>
      </c>
      <c r="K476" s="8"/>
      <c r="L476" s="8"/>
      <c r="M476" s="8"/>
      <c r="N476" s="8"/>
    </row>
    <row r="477" spans="1:14" ht="21.6" customHeight="1" thickBot="1" x14ac:dyDescent="0.25">
      <c r="A477" s="8"/>
      <c r="B477" s="8"/>
      <c r="C477" s="8"/>
      <c r="D477" s="26"/>
      <c r="E477" s="6" t="s">
        <v>1041</v>
      </c>
      <c r="F477" s="4">
        <v>2</v>
      </c>
      <c r="G477" s="22">
        <v>1</v>
      </c>
      <c r="H477" s="22"/>
      <c r="I477" s="22">
        <v>2.17</v>
      </c>
      <c r="J477" s="30">
        <f>ROUND(F477*G477*I477,2)</f>
        <v>4.34</v>
      </c>
      <c r="K477" s="8"/>
      <c r="L477" s="8"/>
      <c r="M477" s="8"/>
      <c r="N477" s="8"/>
    </row>
    <row r="478" spans="1:14" ht="15.4" customHeight="1" thickBot="1" x14ac:dyDescent="0.25">
      <c r="A478" s="8"/>
      <c r="B478" s="8"/>
      <c r="C478" s="8"/>
      <c r="D478" s="26"/>
      <c r="E478" s="6" t="s">
        <v>1042</v>
      </c>
      <c r="F478" s="4">
        <v>1</v>
      </c>
      <c r="G478" s="22">
        <v>2</v>
      </c>
      <c r="H478" s="22"/>
      <c r="I478" s="22"/>
      <c r="J478" s="30">
        <f>ROUND(F478*G478,2)</f>
        <v>2</v>
      </c>
      <c r="K478" s="32">
        <f>SUM(J466:J478)</f>
        <v>113.89</v>
      </c>
      <c r="L478" s="8"/>
      <c r="M478" s="8"/>
      <c r="N478" s="8"/>
    </row>
    <row r="479" spans="1:14" ht="15.4" customHeight="1" thickBot="1" x14ac:dyDescent="0.25">
      <c r="A479" s="12" t="s">
        <v>1043</v>
      </c>
      <c r="B479" s="6" t="s">
        <v>1044</v>
      </c>
      <c r="C479" s="6" t="s">
        <v>1045</v>
      </c>
      <c r="D479" s="60" t="s">
        <v>1046</v>
      </c>
      <c r="E479" s="60"/>
      <c r="F479" s="60"/>
      <c r="G479" s="60"/>
      <c r="H479" s="60"/>
      <c r="I479" s="60"/>
      <c r="J479" s="60"/>
      <c r="K479" s="22">
        <f>SUM(K482:K483)</f>
        <v>3.75</v>
      </c>
      <c r="L479" s="22">
        <f>ROUND(29.75*(1+M2/100),2)</f>
        <v>29.75</v>
      </c>
      <c r="M479" s="22">
        <f>ROUND(K479*L479,2)</f>
        <v>111.56</v>
      </c>
      <c r="N479" s="8"/>
    </row>
    <row r="480" spans="1:14" ht="49.7" customHeight="1" thickBot="1" x14ac:dyDescent="0.25">
      <c r="A480" s="8"/>
      <c r="B480" s="8"/>
      <c r="C480" s="8"/>
      <c r="D480" s="60" t="s">
        <v>1047</v>
      </c>
      <c r="E480" s="60"/>
      <c r="F480" s="60"/>
      <c r="G480" s="60"/>
      <c r="H480" s="60"/>
      <c r="I480" s="60"/>
      <c r="J480" s="60"/>
      <c r="K480" s="60"/>
      <c r="L480" s="60"/>
      <c r="M480" s="60"/>
      <c r="N480" s="8"/>
    </row>
    <row r="481" spans="1:14" ht="15.4" customHeight="1" thickBot="1" x14ac:dyDescent="0.25">
      <c r="A481" s="8"/>
      <c r="B481" s="8"/>
      <c r="C481" s="8"/>
      <c r="D481" s="8"/>
      <c r="E481" s="23"/>
      <c r="F481" s="25" t="s">
        <v>1048</v>
      </c>
      <c r="G481" s="25" t="s">
        <v>1049</v>
      </c>
      <c r="H481" s="25" t="s">
        <v>1050</v>
      </c>
      <c r="I481" s="25" t="s">
        <v>1051</v>
      </c>
      <c r="J481" s="25" t="s">
        <v>1052</v>
      </c>
      <c r="K481" s="25" t="s">
        <v>1053</v>
      </c>
      <c r="L481" s="8"/>
      <c r="M481" s="8"/>
      <c r="N481" s="8"/>
    </row>
    <row r="482" spans="1:14" ht="15.4" customHeight="1" thickBot="1" x14ac:dyDescent="0.25">
      <c r="A482" s="8"/>
      <c r="B482" s="8"/>
      <c r="C482" s="8"/>
      <c r="D482" s="26"/>
      <c r="E482" s="27" t="s">
        <v>1054</v>
      </c>
      <c r="F482" s="28"/>
      <c r="G482" s="29"/>
      <c r="H482" s="29"/>
      <c r="I482" s="29"/>
      <c r="J482" s="34" t="s">
        <v>1055</v>
      </c>
      <c r="K482" s="35"/>
      <c r="L482" s="8"/>
      <c r="M482" s="8"/>
      <c r="N482" s="8"/>
    </row>
    <row r="483" spans="1:14" ht="15.4" customHeight="1" thickBot="1" x14ac:dyDescent="0.25">
      <c r="A483" s="8"/>
      <c r="B483" s="8"/>
      <c r="C483" s="8"/>
      <c r="D483" s="26"/>
      <c r="E483" s="6"/>
      <c r="F483" s="4">
        <v>1</v>
      </c>
      <c r="G483" s="22">
        <v>2.5</v>
      </c>
      <c r="H483" s="22"/>
      <c r="I483" s="22">
        <v>1.5</v>
      </c>
      <c r="J483" s="30">
        <f>ROUND(F483*G483*I483,2)</f>
        <v>3.75</v>
      </c>
      <c r="K483" s="32">
        <f>SUM(J482:J483)</f>
        <v>3.75</v>
      </c>
      <c r="L483" s="8"/>
      <c r="M483" s="8"/>
      <c r="N483" s="8"/>
    </row>
    <row r="484" spans="1:14" ht="15.4" customHeight="1" thickBot="1" x14ac:dyDescent="0.25">
      <c r="A484" s="12" t="s">
        <v>1056</v>
      </c>
      <c r="B484" s="6" t="s">
        <v>1057</v>
      </c>
      <c r="C484" s="6" t="s">
        <v>1058</v>
      </c>
      <c r="D484" s="60" t="s">
        <v>1059</v>
      </c>
      <c r="E484" s="60"/>
      <c r="F484" s="60"/>
      <c r="G484" s="60"/>
      <c r="H484" s="60"/>
      <c r="I484" s="60"/>
      <c r="J484" s="60"/>
      <c r="K484" s="22">
        <f>SUM(K487:K497)</f>
        <v>191.37999999999997</v>
      </c>
      <c r="L484" s="22">
        <f>ROUND(35.71*(1+M2/100),2)</f>
        <v>35.71</v>
      </c>
      <c r="M484" s="22">
        <f>ROUND(K484*L484,2)</f>
        <v>6834.18</v>
      </c>
      <c r="N484" s="8"/>
    </row>
    <row r="485" spans="1:14" ht="40.35" customHeight="1" thickBot="1" x14ac:dyDescent="0.25">
      <c r="A485" s="8"/>
      <c r="B485" s="8"/>
      <c r="C485" s="8"/>
      <c r="D485" s="60" t="s">
        <v>1060</v>
      </c>
      <c r="E485" s="60"/>
      <c r="F485" s="60"/>
      <c r="G485" s="60"/>
      <c r="H485" s="60"/>
      <c r="I485" s="60"/>
      <c r="J485" s="60"/>
      <c r="K485" s="60"/>
      <c r="L485" s="60"/>
      <c r="M485" s="60"/>
      <c r="N485" s="8"/>
    </row>
    <row r="486" spans="1:14" ht="15.4" customHeight="1" thickBot="1" x14ac:dyDescent="0.25">
      <c r="A486" s="8"/>
      <c r="B486" s="8"/>
      <c r="C486" s="8"/>
      <c r="D486" s="8"/>
      <c r="E486" s="23"/>
      <c r="F486" s="25" t="s">
        <v>1061</v>
      </c>
      <c r="G486" s="25" t="s">
        <v>1062</v>
      </c>
      <c r="H486" s="25" t="s">
        <v>1063</v>
      </c>
      <c r="I486" s="25" t="s">
        <v>1064</v>
      </c>
      <c r="J486" s="25" t="s">
        <v>1065</v>
      </c>
      <c r="K486" s="25" t="s">
        <v>1066</v>
      </c>
      <c r="L486" s="8"/>
      <c r="M486" s="8"/>
      <c r="N486" s="8"/>
    </row>
    <row r="487" spans="1:14" ht="15.4" customHeight="1" thickBot="1" x14ac:dyDescent="0.25">
      <c r="A487" s="8"/>
      <c r="B487" s="8"/>
      <c r="C487" s="8"/>
      <c r="D487" s="26"/>
      <c r="E487" s="27" t="s">
        <v>1067</v>
      </c>
      <c r="F487" s="28">
        <v>1</v>
      </c>
      <c r="G487" s="29">
        <v>35</v>
      </c>
      <c r="H487" s="29"/>
      <c r="I487" s="29">
        <v>1</v>
      </c>
      <c r="J487" s="31">
        <f t="shared" ref="J487:J497" si="8">ROUND(F487*G487*I487,2)</f>
        <v>35</v>
      </c>
      <c r="K487" s="35"/>
      <c r="L487" s="8"/>
      <c r="M487" s="8"/>
      <c r="N487" s="8"/>
    </row>
    <row r="488" spans="1:14" ht="15.4" customHeight="1" thickBot="1" x14ac:dyDescent="0.25">
      <c r="A488" s="8"/>
      <c r="B488" s="8"/>
      <c r="C488" s="8"/>
      <c r="D488" s="26"/>
      <c r="E488" s="6" t="s">
        <v>1068</v>
      </c>
      <c r="F488" s="4">
        <v>1</v>
      </c>
      <c r="G488" s="22">
        <v>40</v>
      </c>
      <c r="H488" s="22"/>
      <c r="I488" s="22">
        <v>1</v>
      </c>
      <c r="J488" s="30">
        <f t="shared" si="8"/>
        <v>40</v>
      </c>
      <c r="K488" s="8"/>
      <c r="L488" s="8"/>
      <c r="M488" s="8"/>
      <c r="N488" s="8"/>
    </row>
    <row r="489" spans="1:14" ht="15.4" customHeight="1" thickBot="1" x14ac:dyDescent="0.25">
      <c r="A489" s="8"/>
      <c r="B489" s="8"/>
      <c r="C489" s="8"/>
      <c r="D489" s="26"/>
      <c r="E489" s="6" t="s">
        <v>1069</v>
      </c>
      <c r="F489" s="4">
        <v>5</v>
      </c>
      <c r="G489" s="22">
        <v>3</v>
      </c>
      <c r="H489" s="22"/>
      <c r="I489" s="22">
        <v>1</v>
      </c>
      <c r="J489" s="30">
        <f t="shared" si="8"/>
        <v>15</v>
      </c>
      <c r="K489" s="8"/>
      <c r="L489" s="8"/>
      <c r="M489" s="8"/>
      <c r="N489" s="8"/>
    </row>
    <row r="490" spans="1:14" ht="15.4" customHeight="1" thickBot="1" x14ac:dyDescent="0.25">
      <c r="A490" s="8"/>
      <c r="B490" s="8"/>
      <c r="C490" s="8"/>
      <c r="D490" s="26"/>
      <c r="E490" s="6" t="s">
        <v>1070</v>
      </c>
      <c r="F490" s="4">
        <v>1</v>
      </c>
      <c r="G490" s="22">
        <v>12</v>
      </c>
      <c r="H490" s="22"/>
      <c r="I490" s="22">
        <v>1</v>
      </c>
      <c r="J490" s="30">
        <f t="shared" si="8"/>
        <v>12</v>
      </c>
      <c r="K490" s="8"/>
      <c r="L490" s="8"/>
      <c r="M490" s="8"/>
      <c r="N490" s="8"/>
    </row>
    <row r="491" spans="1:14" ht="15.4" customHeight="1" thickBot="1" x14ac:dyDescent="0.25">
      <c r="A491" s="8"/>
      <c r="B491" s="8"/>
      <c r="C491" s="8"/>
      <c r="D491" s="26"/>
      <c r="E491" s="6" t="s">
        <v>1071</v>
      </c>
      <c r="F491" s="4">
        <v>1</v>
      </c>
      <c r="G491" s="22">
        <v>10</v>
      </c>
      <c r="H491" s="22"/>
      <c r="I491" s="22">
        <v>1</v>
      </c>
      <c r="J491" s="30">
        <f t="shared" si="8"/>
        <v>10</v>
      </c>
      <c r="K491" s="8"/>
      <c r="L491" s="8"/>
      <c r="M491" s="8"/>
      <c r="N491" s="8"/>
    </row>
    <row r="492" spans="1:14" ht="15.4" customHeight="1" thickBot="1" x14ac:dyDescent="0.25">
      <c r="A492" s="8"/>
      <c r="B492" s="8"/>
      <c r="C492" s="8"/>
      <c r="D492" s="26"/>
      <c r="E492" s="6" t="s">
        <v>1072</v>
      </c>
      <c r="F492" s="4">
        <v>1</v>
      </c>
      <c r="G492" s="22">
        <v>20</v>
      </c>
      <c r="H492" s="22"/>
      <c r="I492" s="22">
        <v>1</v>
      </c>
      <c r="J492" s="30">
        <f t="shared" si="8"/>
        <v>20</v>
      </c>
      <c r="K492" s="8"/>
      <c r="L492" s="8"/>
      <c r="M492" s="8"/>
      <c r="N492" s="8"/>
    </row>
    <row r="493" spans="1:14" ht="15.4" customHeight="1" thickBot="1" x14ac:dyDescent="0.25">
      <c r="A493" s="8"/>
      <c r="B493" s="8"/>
      <c r="C493" s="8"/>
      <c r="D493" s="26"/>
      <c r="E493" s="6" t="s">
        <v>1073</v>
      </c>
      <c r="F493" s="4">
        <v>1</v>
      </c>
      <c r="G493" s="22">
        <v>58</v>
      </c>
      <c r="H493" s="22"/>
      <c r="I493" s="22">
        <v>1</v>
      </c>
      <c r="J493" s="30">
        <f t="shared" si="8"/>
        <v>58</v>
      </c>
      <c r="K493" s="8"/>
      <c r="L493" s="8"/>
      <c r="M493" s="8"/>
      <c r="N493" s="8"/>
    </row>
    <row r="494" spans="1:14" ht="15.4" customHeight="1" thickBot="1" x14ac:dyDescent="0.25">
      <c r="A494" s="8"/>
      <c r="B494" s="8"/>
      <c r="C494" s="8"/>
      <c r="D494" s="26"/>
      <c r="E494" s="6" t="s">
        <v>1074</v>
      </c>
      <c r="F494" s="4">
        <v>-1</v>
      </c>
      <c r="G494" s="22">
        <v>3.27</v>
      </c>
      <c r="H494" s="22"/>
      <c r="I494" s="22">
        <v>1</v>
      </c>
      <c r="J494" s="30">
        <f t="shared" si="8"/>
        <v>-3.27</v>
      </c>
      <c r="K494" s="8"/>
      <c r="L494" s="8"/>
      <c r="M494" s="8"/>
      <c r="N494" s="8"/>
    </row>
    <row r="495" spans="1:14" ht="15.4" customHeight="1" thickBot="1" x14ac:dyDescent="0.25">
      <c r="A495" s="8"/>
      <c r="B495" s="8"/>
      <c r="C495" s="8"/>
      <c r="D495" s="26"/>
      <c r="E495" s="6" t="s">
        <v>1075</v>
      </c>
      <c r="F495" s="4">
        <v>-1</v>
      </c>
      <c r="G495" s="22">
        <v>5.5</v>
      </c>
      <c r="H495" s="22"/>
      <c r="I495" s="22">
        <v>2.1</v>
      </c>
      <c r="J495" s="30">
        <f t="shared" si="8"/>
        <v>-11.55</v>
      </c>
      <c r="K495" s="8"/>
      <c r="L495" s="8"/>
      <c r="M495" s="8"/>
      <c r="N495" s="8"/>
    </row>
    <row r="496" spans="1:14" ht="21.6" customHeight="1" thickBot="1" x14ac:dyDescent="0.25">
      <c r="A496" s="8"/>
      <c r="B496" s="8"/>
      <c r="C496" s="8"/>
      <c r="D496" s="26"/>
      <c r="E496" s="6" t="s">
        <v>1076</v>
      </c>
      <c r="F496" s="4">
        <v>1</v>
      </c>
      <c r="G496" s="22">
        <v>15</v>
      </c>
      <c r="H496" s="22"/>
      <c r="I496" s="22">
        <v>1</v>
      </c>
      <c r="J496" s="30">
        <f t="shared" si="8"/>
        <v>15</v>
      </c>
      <c r="K496" s="8"/>
      <c r="L496" s="8"/>
      <c r="M496" s="8"/>
      <c r="N496" s="8"/>
    </row>
    <row r="497" spans="1:14" ht="15.4" customHeight="1" thickBot="1" x14ac:dyDescent="0.25">
      <c r="A497" s="8"/>
      <c r="B497" s="8"/>
      <c r="C497" s="8"/>
      <c r="D497" s="26"/>
      <c r="E497" s="6" t="s">
        <v>1077</v>
      </c>
      <c r="F497" s="4">
        <v>1</v>
      </c>
      <c r="G497" s="22">
        <v>0.6</v>
      </c>
      <c r="H497" s="22"/>
      <c r="I497" s="22">
        <v>2</v>
      </c>
      <c r="J497" s="30">
        <f t="shared" si="8"/>
        <v>1.2</v>
      </c>
      <c r="K497" s="32">
        <f>SUM(J487:J497)</f>
        <v>191.37999999999997</v>
      </c>
      <c r="L497" s="8"/>
      <c r="M497" s="8"/>
      <c r="N497" s="8"/>
    </row>
    <row r="498" spans="1:14" ht="15.4" customHeight="1" thickBot="1" x14ac:dyDescent="0.25">
      <c r="A498" s="12" t="s">
        <v>1078</v>
      </c>
      <c r="B498" s="6" t="s">
        <v>1079</v>
      </c>
      <c r="C498" s="6" t="s">
        <v>1080</v>
      </c>
      <c r="D498" s="60" t="s">
        <v>1081</v>
      </c>
      <c r="E498" s="60"/>
      <c r="F498" s="60"/>
      <c r="G498" s="60"/>
      <c r="H498" s="60"/>
      <c r="I498" s="60"/>
      <c r="J498" s="60"/>
      <c r="K498" s="22">
        <f>SUM(K501:K507)</f>
        <v>232.68</v>
      </c>
      <c r="L498" s="22">
        <f>ROUND(35.71*(1+M2/100),2)</f>
        <v>35.71</v>
      </c>
      <c r="M498" s="22">
        <f>ROUND(K498*L498,2)</f>
        <v>8309</v>
      </c>
      <c r="N498" s="8"/>
    </row>
    <row r="499" spans="1:14" ht="12.2" customHeight="1" thickBot="1" x14ac:dyDescent="0.25">
      <c r="A499" s="8"/>
      <c r="B499" s="8"/>
      <c r="C499" s="8"/>
      <c r="D499" s="60" t="s">
        <v>1082</v>
      </c>
      <c r="E499" s="60"/>
      <c r="F499" s="60"/>
      <c r="G499" s="60"/>
      <c r="H499" s="60"/>
      <c r="I499" s="60"/>
      <c r="J499" s="60"/>
      <c r="K499" s="60"/>
      <c r="L499" s="60"/>
      <c r="M499" s="60"/>
      <c r="N499" s="8"/>
    </row>
    <row r="500" spans="1:14" ht="15.4" customHeight="1" thickBot="1" x14ac:dyDescent="0.25">
      <c r="A500" s="8"/>
      <c r="B500" s="8"/>
      <c r="C500" s="8"/>
      <c r="D500" s="8"/>
      <c r="E500" s="23"/>
      <c r="F500" s="25" t="s">
        <v>1083</v>
      </c>
      <c r="G500" s="25" t="s">
        <v>1084</v>
      </c>
      <c r="H500" s="25" t="s">
        <v>1085</v>
      </c>
      <c r="I500" s="25" t="s">
        <v>1086</v>
      </c>
      <c r="J500" s="25" t="s">
        <v>1087</v>
      </c>
      <c r="K500" s="25" t="s">
        <v>1088</v>
      </c>
      <c r="L500" s="8"/>
      <c r="M500" s="8"/>
      <c r="N500" s="8"/>
    </row>
    <row r="501" spans="1:14" ht="15.4" customHeight="1" thickBot="1" x14ac:dyDescent="0.25">
      <c r="A501" s="8"/>
      <c r="B501" s="8"/>
      <c r="C501" s="8"/>
      <c r="D501" s="26"/>
      <c r="E501" s="27" t="s">
        <v>1089</v>
      </c>
      <c r="F501" s="28">
        <v>1</v>
      </c>
      <c r="G501" s="29">
        <v>100.5</v>
      </c>
      <c r="H501" s="29"/>
      <c r="I501" s="29">
        <v>0.92</v>
      </c>
      <c r="J501" s="31">
        <f t="shared" ref="J501:J507" si="9">ROUND(F501*G501*I501,2)</f>
        <v>92.46</v>
      </c>
      <c r="K501" s="35"/>
      <c r="L501" s="8"/>
      <c r="M501" s="8"/>
      <c r="N501" s="8"/>
    </row>
    <row r="502" spans="1:14" ht="15.4" customHeight="1" thickBot="1" x14ac:dyDescent="0.25">
      <c r="A502" s="8"/>
      <c r="B502" s="8"/>
      <c r="C502" s="8"/>
      <c r="D502" s="26"/>
      <c r="E502" s="6" t="s">
        <v>1090</v>
      </c>
      <c r="F502" s="4">
        <v>10</v>
      </c>
      <c r="G502" s="22">
        <v>3</v>
      </c>
      <c r="H502" s="22"/>
      <c r="I502" s="22">
        <v>0.92</v>
      </c>
      <c r="J502" s="30">
        <f t="shared" si="9"/>
        <v>27.6</v>
      </c>
      <c r="K502" s="8"/>
      <c r="L502" s="8"/>
      <c r="M502" s="8"/>
      <c r="N502" s="8"/>
    </row>
    <row r="503" spans="1:14" ht="21.6" customHeight="1" thickBot="1" x14ac:dyDescent="0.25">
      <c r="A503" s="8"/>
      <c r="B503" s="8"/>
      <c r="C503" s="8"/>
      <c r="D503" s="26"/>
      <c r="E503" s="6" t="s">
        <v>1091</v>
      </c>
      <c r="F503" s="4">
        <v>1</v>
      </c>
      <c r="G503" s="22">
        <v>40</v>
      </c>
      <c r="H503" s="22"/>
      <c r="I503" s="22">
        <v>0.92</v>
      </c>
      <c r="J503" s="30">
        <f t="shared" si="9"/>
        <v>36.799999999999997</v>
      </c>
      <c r="K503" s="8"/>
      <c r="L503" s="8"/>
      <c r="M503" s="8"/>
      <c r="N503" s="8"/>
    </row>
    <row r="504" spans="1:14" ht="15.4" customHeight="1" thickBot="1" x14ac:dyDescent="0.25">
      <c r="A504" s="8"/>
      <c r="B504" s="8"/>
      <c r="C504" s="8"/>
      <c r="D504" s="26"/>
      <c r="E504" s="6" t="s">
        <v>1092</v>
      </c>
      <c r="F504" s="4">
        <v>7</v>
      </c>
      <c r="G504" s="22">
        <v>3</v>
      </c>
      <c r="H504" s="22"/>
      <c r="I504" s="22">
        <v>0.92</v>
      </c>
      <c r="J504" s="30">
        <f t="shared" si="9"/>
        <v>19.32</v>
      </c>
      <c r="K504" s="8"/>
      <c r="L504" s="8"/>
      <c r="M504" s="8"/>
      <c r="N504" s="8"/>
    </row>
    <row r="505" spans="1:14" ht="15.4" customHeight="1" thickBot="1" x14ac:dyDescent="0.25">
      <c r="A505" s="8"/>
      <c r="B505" s="8"/>
      <c r="C505" s="8"/>
      <c r="D505" s="26"/>
      <c r="E505" s="6" t="s">
        <v>1093</v>
      </c>
      <c r="F505" s="4">
        <v>2</v>
      </c>
      <c r="G505" s="22">
        <v>3.9</v>
      </c>
      <c r="H505" s="22"/>
      <c r="I505" s="22">
        <v>0.92</v>
      </c>
      <c r="J505" s="30">
        <f t="shared" si="9"/>
        <v>7.18</v>
      </c>
      <c r="K505" s="8"/>
      <c r="L505" s="8"/>
      <c r="M505" s="8"/>
      <c r="N505" s="8"/>
    </row>
    <row r="506" spans="1:14" ht="15.4" customHeight="1" thickBot="1" x14ac:dyDescent="0.25">
      <c r="A506" s="8"/>
      <c r="B506" s="8"/>
      <c r="C506" s="8"/>
      <c r="D506" s="26"/>
      <c r="E506" s="6" t="s">
        <v>1094</v>
      </c>
      <c r="F506" s="4">
        <v>1</v>
      </c>
      <c r="G506" s="22">
        <v>15</v>
      </c>
      <c r="H506" s="22"/>
      <c r="I506" s="22">
        <v>2</v>
      </c>
      <c r="J506" s="30">
        <f t="shared" si="9"/>
        <v>30</v>
      </c>
      <c r="K506" s="8"/>
      <c r="L506" s="8"/>
      <c r="M506" s="8"/>
      <c r="N506" s="8"/>
    </row>
    <row r="507" spans="1:14" ht="15.4" customHeight="1" thickBot="1" x14ac:dyDescent="0.25">
      <c r="A507" s="8"/>
      <c r="B507" s="8"/>
      <c r="C507" s="8"/>
      <c r="D507" s="26"/>
      <c r="E507" s="6" t="s">
        <v>1095</v>
      </c>
      <c r="F507" s="4">
        <v>7</v>
      </c>
      <c r="G507" s="22">
        <v>3</v>
      </c>
      <c r="H507" s="22"/>
      <c r="I507" s="22">
        <v>0.92</v>
      </c>
      <c r="J507" s="30">
        <f t="shared" si="9"/>
        <v>19.32</v>
      </c>
      <c r="K507" s="32">
        <f>SUM(J501:J507)</f>
        <v>232.68</v>
      </c>
      <c r="L507" s="8"/>
      <c r="M507" s="8"/>
      <c r="N507" s="8"/>
    </row>
    <row r="508" spans="1:14" ht="15.4" customHeight="1" thickBot="1" x14ac:dyDescent="0.25">
      <c r="A508" s="12" t="s">
        <v>1096</v>
      </c>
      <c r="B508" s="6" t="s">
        <v>1097</v>
      </c>
      <c r="C508" s="6" t="s">
        <v>1098</v>
      </c>
      <c r="D508" s="60" t="s">
        <v>1099</v>
      </c>
      <c r="E508" s="60"/>
      <c r="F508" s="60"/>
      <c r="G508" s="60"/>
      <c r="H508" s="60"/>
      <c r="I508" s="60"/>
      <c r="J508" s="60"/>
      <c r="K508" s="22">
        <f>SUM(K511:K515)</f>
        <v>30.4</v>
      </c>
      <c r="L508" s="22">
        <f>ROUND(35.7*(1+M2/100),2)</f>
        <v>35.700000000000003</v>
      </c>
      <c r="M508" s="22">
        <f>ROUND(K508*L508,2)</f>
        <v>1085.28</v>
      </c>
      <c r="N508" s="8"/>
    </row>
    <row r="509" spans="1:14" ht="30.95" customHeight="1" thickBot="1" x14ac:dyDescent="0.25">
      <c r="A509" s="8"/>
      <c r="B509" s="8"/>
      <c r="C509" s="8"/>
      <c r="D509" s="60" t="s">
        <v>1100</v>
      </c>
      <c r="E509" s="60"/>
      <c r="F509" s="60"/>
      <c r="G509" s="60"/>
      <c r="H509" s="60"/>
      <c r="I509" s="60"/>
      <c r="J509" s="60"/>
      <c r="K509" s="60"/>
      <c r="L509" s="60"/>
      <c r="M509" s="60"/>
      <c r="N509" s="8"/>
    </row>
    <row r="510" spans="1:14" ht="15.4" customHeight="1" thickBot="1" x14ac:dyDescent="0.25">
      <c r="A510" s="8"/>
      <c r="B510" s="8"/>
      <c r="C510" s="8"/>
      <c r="D510" s="8"/>
      <c r="E510" s="23"/>
      <c r="F510" s="25" t="s">
        <v>1101</v>
      </c>
      <c r="G510" s="25" t="s">
        <v>1102</v>
      </c>
      <c r="H510" s="25" t="s">
        <v>1103</v>
      </c>
      <c r="I510" s="25" t="s">
        <v>1104</v>
      </c>
      <c r="J510" s="25" t="s">
        <v>1105</v>
      </c>
      <c r="K510" s="25" t="s">
        <v>1106</v>
      </c>
      <c r="L510" s="8"/>
      <c r="M510" s="8"/>
      <c r="N510" s="8"/>
    </row>
    <row r="511" spans="1:14" ht="21.6" customHeight="1" thickBot="1" x14ac:dyDescent="0.25">
      <c r="A511" s="8"/>
      <c r="B511" s="8"/>
      <c r="C511" s="8"/>
      <c r="D511" s="26"/>
      <c r="E511" s="27" t="s">
        <v>1107</v>
      </c>
      <c r="F511" s="28"/>
      <c r="G511" s="29"/>
      <c r="H511" s="29"/>
      <c r="I511" s="29"/>
      <c r="J511" s="34" t="s">
        <v>1108</v>
      </c>
      <c r="K511" s="35"/>
      <c r="L511" s="8"/>
      <c r="M511" s="8"/>
      <c r="N511" s="8"/>
    </row>
    <row r="512" spans="1:14" ht="15.4" customHeight="1" thickBot="1" x14ac:dyDescent="0.25">
      <c r="A512" s="8"/>
      <c r="B512" s="8"/>
      <c r="C512" s="8"/>
      <c r="D512" s="26"/>
      <c r="E512" s="6" t="s">
        <v>1109</v>
      </c>
      <c r="F512" s="4">
        <v>1</v>
      </c>
      <c r="G512" s="22">
        <v>3.6</v>
      </c>
      <c r="H512" s="22"/>
      <c r="I512" s="22">
        <v>2</v>
      </c>
      <c r="J512" s="30">
        <f>ROUND(F512*G512*I512,2)</f>
        <v>7.2</v>
      </c>
      <c r="K512" s="8"/>
      <c r="L512" s="8"/>
      <c r="M512" s="8"/>
      <c r="N512" s="8"/>
    </row>
    <row r="513" spans="1:14" ht="15.4" customHeight="1" thickBot="1" x14ac:dyDescent="0.25">
      <c r="A513" s="8"/>
      <c r="B513" s="8"/>
      <c r="C513" s="8"/>
      <c r="D513" s="26"/>
      <c r="E513" s="6" t="s">
        <v>1110</v>
      </c>
      <c r="F513" s="4">
        <v>1</v>
      </c>
      <c r="G513" s="22">
        <v>3.8</v>
      </c>
      <c r="H513" s="22"/>
      <c r="I513" s="22">
        <v>2</v>
      </c>
      <c r="J513" s="30">
        <f>ROUND(F513*G513*I513,2)</f>
        <v>7.6</v>
      </c>
      <c r="K513" s="8"/>
      <c r="L513" s="8"/>
      <c r="M513" s="8"/>
      <c r="N513" s="8"/>
    </row>
    <row r="514" spans="1:14" ht="15.4" customHeight="1" thickBot="1" x14ac:dyDescent="0.25">
      <c r="A514" s="8"/>
      <c r="B514" s="8"/>
      <c r="C514" s="8"/>
      <c r="D514" s="26"/>
      <c r="E514" s="6" t="s">
        <v>1111</v>
      </c>
      <c r="F514" s="4">
        <v>1</v>
      </c>
      <c r="G514" s="22">
        <v>3.8</v>
      </c>
      <c r="H514" s="22"/>
      <c r="I514" s="22">
        <v>2</v>
      </c>
      <c r="J514" s="30">
        <f>ROUND(F514*G514*I514,2)</f>
        <v>7.6</v>
      </c>
      <c r="K514" s="8"/>
      <c r="L514" s="8"/>
      <c r="M514" s="8"/>
      <c r="N514" s="8"/>
    </row>
    <row r="515" spans="1:14" ht="15.4" customHeight="1" thickBot="1" x14ac:dyDescent="0.25">
      <c r="A515" s="8"/>
      <c r="B515" s="8"/>
      <c r="C515" s="8"/>
      <c r="D515" s="26"/>
      <c r="E515" s="6" t="s">
        <v>1112</v>
      </c>
      <c r="F515" s="4">
        <v>1</v>
      </c>
      <c r="G515" s="22">
        <v>4</v>
      </c>
      <c r="H515" s="22"/>
      <c r="I515" s="22">
        <v>2</v>
      </c>
      <c r="J515" s="30">
        <f>ROUND(F515*G515*I515,2)</f>
        <v>8</v>
      </c>
      <c r="K515" s="32">
        <f>SUM(J511:J515)</f>
        <v>30.4</v>
      </c>
      <c r="L515" s="8"/>
      <c r="M515" s="8"/>
      <c r="N515" s="8"/>
    </row>
    <row r="516" spans="1:14" ht="15.4" customHeight="1" thickBot="1" x14ac:dyDescent="0.25">
      <c r="A516" s="12" t="s">
        <v>1113</v>
      </c>
      <c r="B516" s="6" t="s">
        <v>1114</v>
      </c>
      <c r="C516" s="6" t="s">
        <v>1115</v>
      </c>
      <c r="D516" s="60" t="s">
        <v>1116</v>
      </c>
      <c r="E516" s="60"/>
      <c r="F516" s="60"/>
      <c r="G516" s="60"/>
      <c r="H516" s="60"/>
      <c r="I516" s="60"/>
      <c r="J516" s="60"/>
      <c r="K516" s="22">
        <f>SUM(K519:K536)</f>
        <v>232.71</v>
      </c>
      <c r="L516" s="22">
        <f>ROUND(18.93*(1+M2/100),2)</f>
        <v>18.93</v>
      </c>
      <c r="M516" s="22">
        <f>ROUND(K516*L516,2)</f>
        <v>4405.2</v>
      </c>
      <c r="N516" s="8"/>
    </row>
    <row r="517" spans="1:14" ht="21.6" customHeight="1" thickBot="1" x14ac:dyDescent="0.25">
      <c r="A517" s="8"/>
      <c r="B517" s="8"/>
      <c r="C517" s="8"/>
      <c r="D517" s="60" t="s">
        <v>1117</v>
      </c>
      <c r="E517" s="60"/>
      <c r="F517" s="60"/>
      <c r="G517" s="60"/>
      <c r="H517" s="60"/>
      <c r="I517" s="60"/>
      <c r="J517" s="60"/>
      <c r="K517" s="60"/>
      <c r="L517" s="60"/>
      <c r="M517" s="60"/>
      <c r="N517" s="8"/>
    </row>
    <row r="518" spans="1:14" ht="15.4" customHeight="1" thickBot="1" x14ac:dyDescent="0.25">
      <c r="A518" s="8"/>
      <c r="B518" s="8"/>
      <c r="C518" s="8"/>
      <c r="D518" s="8"/>
      <c r="E518" s="23"/>
      <c r="F518" s="25" t="s">
        <v>1118</v>
      </c>
      <c r="G518" s="25" t="s">
        <v>1119</v>
      </c>
      <c r="H518" s="25" t="s">
        <v>1120</v>
      </c>
      <c r="I518" s="25" t="s">
        <v>1121</v>
      </c>
      <c r="J518" s="25" t="s">
        <v>1122</v>
      </c>
      <c r="K518" s="25" t="s">
        <v>1123</v>
      </c>
      <c r="L518" s="8"/>
      <c r="M518" s="8"/>
      <c r="N518" s="8"/>
    </row>
    <row r="519" spans="1:14" ht="40.35" customHeight="1" thickBot="1" x14ac:dyDescent="0.25">
      <c r="A519" s="8"/>
      <c r="B519" s="8"/>
      <c r="C519" s="8"/>
      <c r="D519" s="26"/>
      <c r="E519" s="27" t="s">
        <v>1124</v>
      </c>
      <c r="F519" s="28"/>
      <c r="G519" s="29"/>
      <c r="H519" s="29"/>
      <c r="I519" s="29"/>
      <c r="J519" s="34" t="s">
        <v>1125</v>
      </c>
      <c r="K519" s="35"/>
      <c r="L519" s="8"/>
      <c r="M519" s="8"/>
      <c r="N519" s="8"/>
    </row>
    <row r="520" spans="1:14" ht="15.4" customHeight="1" thickBot="1" x14ac:dyDescent="0.25">
      <c r="A520" s="8"/>
      <c r="B520" s="8"/>
      <c r="C520" s="8"/>
      <c r="D520" s="26"/>
      <c r="E520" s="6" t="s">
        <v>1126</v>
      </c>
      <c r="F520" s="4"/>
      <c r="G520" s="22"/>
      <c r="H520" s="22"/>
      <c r="I520" s="22"/>
      <c r="J520" s="24" t="s">
        <v>1127</v>
      </c>
      <c r="K520" s="8"/>
      <c r="L520" s="8"/>
      <c r="M520" s="8"/>
      <c r="N520" s="8"/>
    </row>
    <row r="521" spans="1:14" ht="15.4" customHeight="1" thickBot="1" x14ac:dyDescent="0.25">
      <c r="A521" s="8"/>
      <c r="B521" s="8"/>
      <c r="C521" s="8"/>
      <c r="D521" s="26"/>
      <c r="E521" s="6" t="s">
        <v>1128</v>
      </c>
      <c r="F521" s="4">
        <v>9</v>
      </c>
      <c r="G521" s="22">
        <v>3</v>
      </c>
      <c r="H521" s="22"/>
      <c r="I521" s="22"/>
      <c r="J521" s="30">
        <f t="shared" ref="J521:J530" si="10">ROUND(F521*G521,2)</f>
        <v>27</v>
      </c>
      <c r="K521" s="8"/>
      <c r="L521" s="8"/>
      <c r="M521" s="8"/>
      <c r="N521" s="8"/>
    </row>
    <row r="522" spans="1:14" ht="15.4" customHeight="1" thickBot="1" x14ac:dyDescent="0.25">
      <c r="A522" s="8"/>
      <c r="B522" s="8"/>
      <c r="C522" s="8"/>
      <c r="D522" s="26"/>
      <c r="E522" s="6" t="s">
        <v>1129</v>
      </c>
      <c r="F522" s="4">
        <v>1</v>
      </c>
      <c r="G522" s="22">
        <v>10</v>
      </c>
      <c r="H522" s="22"/>
      <c r="I522" s="22"/>
      <c r="J522" s="30">
        <f t="shared" si="10"/>
        <v>10</v>
      </c>
      <c r="K522" s="8"/>
      <c r="L522" s="8"/>
      <c r="M522" s="8"/>
      <c r="N522" s="8"/>
    </row>
    <row r="523" spans="1:14" ht="15.4" customHeight="1" thickBot="1" x14ac:dyDescent="0.25">
      <c r="A523" s="8"/>
      <c r="B523" s="8"/>
      <c r="C523" s="8"/>
      <c r="D523" s="26"/>
      <c r="E523" s="6" t="s">
        <v>1130</v>
      </c>
      <c r="F523" s="4">
        <v>1</v>
      </c>
      <c r="G523" s="22">
        <v>10</v>
      </c>
      <c r="H523" s="22"/>
      <c r="I523" s="22"/>
      <c r="J523" s="30">
        <f t="shared" si="10"/>
        <v>10</v>
      </c>
      <c r="K523" s="8"/>
      <c r="L523" s="8"/>
      <c r="M523" s="8"/>
      <c r="N523" s="8"/>
    </row>
    <row r="524" spans="1:14" ht="15.4" customHeight="1" thickBot="1" x14ac:dyDescent="0.25">
      <c r="A524" s="8"/>
      <c r="B524" s="8"/>
      <c r="C524" s="8"/>
      <c r="D524" s="26"/>
      <c r="E524" s="6" t="s">
        <v>1131</v>
      </c>
      <c r="F524" s="4">
        <v>1</v>
      </c>
      <c r="G524" s="22">
        <v>15</v>
      </c>
      <c r="H524" s="22"/>
      <c r="I524" s="22"/>
      <c r="J524" s="30">
        <f t="shared" si="10"/>
        <v>15</v>
      </c>
      <c r="K524" s="8"/>
      <c r="L524" s="8"/>
      <c r="M524" s="8"/>
      <c r="N524" s="8"/>
    </row>
    <row r="525" spans="1:14" ht="15.4" customHeight="1" thickBot="1" x14ac:dyDescent="0.25">
      <c r="A525" s="8"/>
      <c r="B525" s="8"/>
      <c r="C525" s="8"/>
      <c r="D525" s="26"/>
      <c r="E525" s="6" t="s">
        <v>1132</v>
      </c>
      <c r="F525" s="4">
        <v>1</v>
      </c>
      <c r="G525" s="22">
        <v>50</v>
      </c>
      <c r="H525" s="22"/>
      <c r="I525" s="22"/>
      <c r="J525" s="30">
        <f t="shared" si="10"/>
        <v>50</v>
      </c>
      <c r="K525" s="8"/>
      <c r="L525" s="8"/>
      <c r="M525" s="8"/>
      <c r="N525" s="8"/>
    </row>
    <row r="526" spans="1:14" ht="15.4" customHeight="1" thickBot="1" x14ac:dyDescent="0.25">
      <c r="A526" s="8"/>
      <c r="B526" s="8"/>
      <c r="C526" s="8"/>
      <c r="D526" s="26"/>
      <c r="E526" s="6" t="s">
        <v>1133</v>
      </c>
      <c r="F526" s="4">
        <v>-1</v>
      </c>
      <c r="G526" s="22">
        <v>3.27</v>
      </c>
      <c r="H526" s="22"/>
      <c r="I526" s="22"/>
      <c r="J526" s="30">
        <f t="shared" si="10"/>
        <v>-3.27</v>
      </c>
      <c r="K526" s="8"/>
      <c r="L526" s="8"/>
      <c r="M526" s="8"/>
      <c r="N526" s="8"/>
    </row>
    <row r="527" spans="1:14" ht="15.4" customHeight="1" thickBot="1" x14ac:dyDescent="0.25">
      <c r="A527" s="8"/>
      <c r="B527" s="8"/>
      <c r="C527" s="8"/>
      <c r="D527" s="26"/>
      <c r="E527" s="6" t="s">
        <v>1134</v>
      </c>
      <c r="F527" s="4">
        <v>-1</v>
      </c>
      <c r="G527" s="22">
        <v>5.3</v>
      </c>
      <c r="H527" s="22"/>
      <c r="I527" s="22"/>
      <c r="J527" s="30">
        <f t="shared" si="10"/>
        <v>-5.3</v>
      </c>
      <c r="K527" s="8"/>
      <c r="L527" s="8"/>
      <c r="M527" s="8"/>
      <c r="N527" s="8"/>
    </row>
    <row r="528" spans="1:14" ht="21.6" customHeight="1" thickBot="1" x14ac:dyDescent="0.25">
      <c r="A528" s="8"/>
      <c r="B528" s="8"/>
      <c r="C528" s="8"/>
      <c r="D528" s="26"/>
      <c r="E528" s="6" t="s">
        <v>1135</v>
      </c>
      <c r="F528" s="4">
        <v>2</v>
      </c>
      <c r="G528" s="22">
        <v>5</v>
      </c>
      <c r="H528" s="22"/>
      <c r="I528" s="22"/>
      <c r="J528" s="30">
        <f t="shared" si="10"/>
        <v>10</v>
      </c>
      <c r="K528" s="8"/>
      <c r="L528" s="8"/>
      <c r="M528" s="8"/>
      <c r="N528" s="8"/>
    </row>
    <row r="529" spans="1:14" ht="15.4" customHeight="1" thickBot="1" x14ac:dyDescent="0.25">
      <c r="A529" s="8"/>
      <c r="B529" s="8"/>
      <c r="C529" s="8"/>
      <c r="D529" s="26"/>
      <c r="E529" s="6" t="s">
        <v>1136</v>
      </c>
      <c r="F529" s="4">
        <v>1</v>
      </c>
      <c r="G529" s="22">
        <v>47</v>
      </c>
      <c r="H529" s="22"/>
      <c r="I529" s="22"/>
      <c r="J529" s="30">
        <f t="shared" si="10"/>
        <v>47</v>
      </c>
      <c r="K529" s="8"/>
      <c r="L529" s="8"/>
      <c r="M529" s="8"/>
      <c r="N529" s="8"/>
    </row>
    <row r="530" spans="1:14" ht="15.4" customHeight="1" thickBot="1" x14ac:dyDescent="0.25">
      <c r="A530" s="8"/>
      <c r="B530" s="8"/>
      <c r="C530" s="8"/>
      <c r="D530" s="26"/>
      <c r="E530" s="6" t="s">
        <v>1137</v>
      </c>
      <c r="F530" s="4">
        <v>2</v>
      </c>
      <c r="G530" s="22">
        <v>1.1399999999999999</v>
      </c>
      <c r="H530" s="22"/>
      <c r="I530" s="22"/>
      <c r="J530" s="30">
        <f t="shared" si="10"/>
        <v>2.2799999999999998</v>
      </c>
      <c r="K530" s="8"/>
      <c r="L530" s="8"/>
      <c r="M530" s="8"/>
      <c r="N530" s="8"/>
    </row>
    <row r="531" spans="1:14" ht="15.4" customHeight="1" thickBot="1" x14ac:dyDescent="0.25">
      <c r="A531" s="8"/>
      <c r="B531" s="8"/>
      <c r="C531" s="8"/>
      <c r="D531" s="26"/>
      <c r="E531" s="6" t="s">
        <v>1138</v>
      </c>
      <c r="F531" s="4"/>
      <c r="G531" s="22"/>
      <c r="H531" s="22"/>
      <c r="I531" s="22"/>
      <c r="J531" s="24" t="s">
        <v>1139</v>
      </c>
      <c r="K531" s="8"/>
      <c r="L531" s="8"/>
      <c r="M531" s="8"/>
      <c r="N531" s="8"/>
    </row>
    <row r="532" spans="1:14" ht="15.4" customHeight="1" thickBot="1" x14ac:dyDescent="0.25">
      <c r="A532" s="8"/>
      <c r="B532" s="8"/>
      <c r="C532" s="8"/>
      <c r="D532" s="26"/>
      <c r="E532" s="6" t="s">
        <v>1140</v>
      </c>
      <c r="F532" s="4">
        <v>1</v>
      </c>
      <c r="G532" s="22">
        <v>28</v>
      </c>
      <c r="H532" s="22"/>
      <c r="I532" s="22"/>
      <c r="J532" s="30">
        <f>ROUND(F532*G532,2)</f>
        <v>28</v>
      </c>
      <c r="K532" s="8"/>
      <c r="L532" s="8"/>
      <c r="M532" s="8"/>
      <c r="N532" s="8"/>
    </row>
    <row r="533" spans="1:14" ht="21.6" customHeight="1" thickBot="1" x14ac:dyDescent="0.25">
      <c r="A533" s="8"/>
      <c r="B533" s="8"/>
      <c r="C533" s="8"/>
      <c r="D533" s="26"/>
      <c r="E533" s="6" t="s">
        <v>1141</v>
      </c>
      <c r="F533" s="4">
        <v>2</v>
      </c>
      <c r="G533" s="22">
        <v>6</v>
      </c>
      <c r="H533" s="22"/>
      <c r="I533" s="22"/>
      <c r="J533" s="30">
        <f>ROUND(F533*G533,2)</f>
        <v>12</v>
      </c>
      <c r="K533" s="8"/>
      <c r="L533" s="8"/>
      <c r="M533" s="8"/>
      <c r="N533" s="8"/>
    </row>
    <row r="534" spans="1:14" ht="21.6" customHeight="1" thickBot="1" x14ac:dyDescent="0.25">
      <c r="A534" s="8"/>
      <c r="B534" s="8"/>
      <c r="C534" s="8"/>
      <c r="D534" s="26"/>
      <c r="E534" s="6" t="s">
        <v>1142</v>
      </c>
      <c r="F534" s="4">
        <v>1</v>
      </c>
      <c r="G534" s="22">
        <v>6</v>
      </c>
      <c r="H534" s="22"/>
      <c r="I534" s="22"/>
      <c r="J534" s="30">
        <f>ROUND(F534*G534,2)</f>
        <v>6</v>
      </c>
      <c r="K534" s="8"/>
      <c r="L534" s="8"/>
      <c r="M534" s="8"/>
      <c r="N534" s="8"/>
    </row>
    <row r="535" spans="1:14" ht="21.6" customHeight="1" thickBot="1" x14ac:dyDescent="0.25">
      <c r="A535" s="8"/>
      <c r="B535" s="8"/>
      <c r="C535" s="8"/>
      <c r="D535" s="26"/>
      <c r="E535" s="6" t="s">
        <v>1143</v>
      </c>
      <c r="F535" s="4">
        <v>1</v>
      </c>
      <c r="G535" s="22">
        <v>12</v>
      </c>
      <c r="H535" s="22"/>
      <c r="I535" s="22"/>
      <c r="J535" s="30">
        <f>ROUND(F535*G535,2)</f>
        <v>12</v>
      </c>
      <c r="K535" s="8"/>
      <c r="L535" s="8"/>
      <c r="M535" s="8"/>
      <c r="N535" s="8"/>
    </row>
    <row r="536" spans="1:14" ht="15.4" customHeight="1" thickBot="1" x14ac:dyDescent="0.25">
      <c r="A536" s="8"/>
      <c r="B536" s="8"/>
      <c r="C536" s="8"/>
      <c r="D536" s="26"/>
      <c r="E536" s="6" t="s">
        <v>1144</v>
      </c>
      <c r="F536" s="4">
        <v>1</v>
      </c>
      <c r="G536" s="22">
        <v>12</v>
      </c>
      <c r="H536" s="22"/>
      <c r="I536" s="22"/>
      <c r="J536" s="30">
        <f>ROUND(F536*G536,2)</f>
        <v>12</v>
      </c>
      <c r="K536" s="32">
        <f>SUM(J519:J536)</f>
        <v>232.71</v>
      </c>
      <c r="L536" s="8"/>
      <c r="M536" s="8"/>
      <c r="N536" s="8"/>
    </row>
    <row r="537" spans="1:14" ht="15.4" customHeight="1" thickBot="1" x14ac:dyDescent="0.25">
      <c r="A537" s="12" t="s">
        <v>1145</v>
      </c>
      <c r="B537" s="6" t="s">
        <v>1146</v>
      </c>
      <c r="C537" s="6" t="s">
        <v>1147</v>
      </c>
      <c r="D537" s="60" t="s">
        <v>1148</v>
      </c>
      <c r="E537" s="60"/>
      <c r="F537" s="60"/>
      <c r="G537" s="60"/>
      <c r="H537" s="60"/>
      <c r="I537" s="60"/>
      <c r="J537" s="60"/>
      <c r="K537" s="22">
        <f>SUM(K540:K546)</f>
        <v>38.159999999999997</v>
      </c>
      <c r="L537" s="22">
        <f>ROUND(23.09*(1+M2/100),2)</f>
        <v>23.09</v>
      </c>
      <c r="M537" s="22">
        <f>ROUND(K537*L537,2)</f>
        <v>881.11</v>
      </c>
      <c r="N537" s="8"/>
    </row>
    <row r="538" spans="1:14" ht="21.6" customHeight="1" thickBot="1" x14ac:dyDescent="0.25">
      <c r="A538" s="8"/>
      <c r="B538" s="8"/>
      <c r="C538" s="8"/>
      <c r="D538" s="60" t="s">
        <v>1149</v>
      </c>
      <c r="E538" s="60"/>
      <c r="F538" s="60"/>
      <c r="G538" s="60"/>
      <c r="H538" s="60"/>
      <c r="I538" s="60"/>
      <c r="J538" s="60"/>
      <c r="K538" s="60"/>
      <c r="L538" s="60"/>
      <c r="M538" s="60"/>
      <c r="N538" s="8"/>
    </row>
    <row r="539" spans="1:14" ht="15.4" customHeight="1" thickBot="1" x14ac:dyDescent="0.25">
      <c r="A539" s="8"/>
      <c r="B539" s="8"/>
      <c r="C539" s="8"/>
      <c r="D539" s="8"/>
      <c r="E539" s="23"/>
      <c r="F539" s="25" t="s">
        <v>1150</v>
      </c>
      <c r="G539" s="25" t="s">
        <v>1151</v>
      </c>
      <c r="H539" s="25" t="s">
        <v>1152</v>
      </c>
      <c r="I539" s="25" t="s">
        <v>1153</v>
      </c>
      <c r="J539" s="25" t="s">
        <v>1154</v>
      </c>
      <c r="K539" s="25" t="s">
        <v>1155</v>
      </c>
      <c r="L539" s="8"/>
      <c r="M539" s="8"/>
      <c r="N539" s="8"/>
    </row>
    <row r="540" spans="1:14" ht="21.6" customHeight="1" thickBot="1" x14ac:dyDescent="0.25">
      <c r="A540" s="8"/>
      <c r="B540" s="8"/>
      <c r="C540" s="8"/>
      <c r="D540" s="26"/>
      <c r="E540" s="27" t="s">
        <v>1156</v>
      </c>
      <c r="F540" s="28">
        <v>4</v>
      </c>
      <c r="G540" s="29">
        <v>2.4</v>
      </c>
      <c r="H540" s="29"/>
      <c r="I540" s="29"/>
      <c r="J540" s="31">
        <f t="shared" ref="J540:J546" si="11">ROUND(F540*G540,2)</f>
        <v>9.6</v>
      </c>
      <c r="K540" s="35"/>
      <c r="L540" s="8"/>
      <c r="M540" s="8"/>
      <c r="N540" s="8"/>
    </row>
    <row r="541" spans="1:14" ht="15.4" customHeight="1" thickBot="1" x14ac:dyDescent="0.25">
      <c r="A541" s="8"/>
      <c r="B541" s="8"/>
      <c r="C541" s="8"/>
      <c r="D541" s="26"/>
      <c r="E541" s="6"/>
      <c r="F541" s="4">
        <v>2</v>
      </c>
      <c r="G541" s="22">
        <v>1.32</v>
      </c>
      <c r="H541" s="22"/>
      <c r="I541" s="22"/>
      <c r="J541" s="30">
        <f t="shared" si="11"/>
        <v>2.64</v>
      </c>
      <c r="K541" s="8"/>
      <c r="L541" s="8"/>
      <c r="M541" s="8"/>
      <c r="N541" s="8"/>
    </row>
    <row r="542" spans="1:14" ht="15.4" customHeight="1" thickBot="1" x14ac:dyDescent="0.25">
      <c r="A542" s="8"/>
      <c r="B542" s="8"/>
      <c r="C542" s="8"/>
      <c r="D542" s="26"/>
      <c r="E542" s="6" t="s">
        <v>1157</v>
      </c>
      <c r="F542" s="4">
        <v>2</v>
      </c>
      <c r="G542" s="22">
        <v>2.4</v>
      </c>
      <c r="H542" s="22"/>
      <c r="I542" s="22"/>
      <c r="J542" s="30">
        <f t="shared" si="11"/>
        <v>4.8</v>
      </c>
      <c r="K542" s="8"/>
      <c r="L542" s="8"/>
      <c r="M542" s="8"/>
      <c r="N542" s="8"/>
    </row>
    <row r="543" spans="1:14" ht="15.4" customHeight="1" thickBot="1" x14ac:dyDescent="0.25">
      <c r="A543" s="8"/>
      <c r="B543" s="8"/>
      <c r="C543" s="8"/>
      <c r="D543" s="26"/>
      <c r="E543" s="6"/>
      <c r="F543" s="4">
        <v>2</v>
      </c>
      <c r="G543" s="22">
        <v>1.32</v>
      </c>
      <c r="H543" s="22"/>
      <c r="I543" s="22"/>
      <c r="J543" s="30">
        <f t="shared" si="11"/>
        <v>2.64</v>
      </c>
      <c r="K543" s="8"/>
      <c r="L543" s="8"/>
      <c r="M543" s="8"/>
      <c r="N543" s="8"/>
    </row>
    <row r="544" spans="1:14" ht="21.6" customHeight="1" thickBot="1" x14ac:dyDescent="0.25">
      <c r="A544" s="8"/>
      <c r="B544" s="8"/>
      <c r="C544" s="8"/>
      <c r="D544" s="26"/>
      <c r="E544" s="6" t="s">
        <v>1158</v>
      </c>
      <c r="F544" s="4">
        <v>4</v>
      </c>
      <c r="G544" s="22">
        <v>2.42</v>
      </c>
      <c r="H544" s="22"/>
      <c r="I544" s="22"/>
      <c r="J544" s="30">
        <f t="shared" si="11"/>
        <v>9.68</v>
      </c>
      <c r="K544" s="8"/>
      <c r="L544" s="8"/>
      <c r="M544" s="8"/>
      <c r="N544" s="8"/>
    </row>
    <row r="545" spans="1:14" ht="15.4" customHeight="1" thickBot="1" x14ac:dyDescent="0.25">
      <c r="A545" s="8"/>
      <c r="B545" s="8"/>
      <c r="C545" s="8"/>
      <c r="D545" s="26"/>
      <c r="E545" s="6"/>
      <c r="F545" s="4">
        <v>2</v>
      </c>
      <c r="G545" s="22">
        <v>3.4</v>
      </c>
      <c r="H545" s="22"/>
      <c r="I545" s="22"/>
      <c r="J545" s="30">
        <f t="shared" si="11"/>
        <v>6.8</v>
      </c>
      <c r="K545" s="8"/>
      <c r="L545" s="8"/>
      <c r="M545" s="8"/>
      <c r="N545" s="8"/>
    </row>
    <row r="546" spans="1:14" ht="30.95" customHeight="1" thickBot="1" x14ac:dyDescent="0.25">
      <c r="A546" s="8"/>
      <c r="B546" s="8"/>
      <c r="C546" s="8"/>
      <c r="D546" s="26"/>
      <c r="E546" s="6" t="s">
        <v>1159</v>
      </c>
      <c r="F546" s="4">
        <v>2</v>
      </c>
      <c r="G546" s="22">
        <v>1</v>
      </c>
      <c r="H546" s="22"/>
      <c r="I546" s="22"/>
      <c r="J546" s="30">
        <f t="shared" si="11"/>
        <v>2</v>
      </c>
      <c r="K546" s="32">
        <f>SUM(J540:J546)</f>
        <v>38.159999999999997</v>
      </c>
      <c r="L546" s="8"/>
      <c r="M546" s="8"/>
      <c r="N546" s="8"/>
    </row>
    <row r="547" spans="1:14" ht="15.4" customHeight="1" thickBot="1" x14ac:dyDescent="0.25">
      <c r="A547" s="12" t="s">
        <v>1160</v>
      </c>
      <c r="B547" s="6" t="s">
        <v>1161</v>
      </c>
      <c r="C547" s="6" t="s">
        <v>1162</v>
      </c>
      <c r="D547" s="60" t="s">
        <v>1163</v>
      </c>
      <c r="E547" s="60"/>
      <c r="F547" s="60"/>
      <c r="G547" s="60"/>
      <c r="H547" s="60"/>
      <c r="I547" s="60"/>
      <c r="J547" s="60"/>
      <c r="K547" s="22">
        <f>SUM(K550:K550)</f>
        <v>52</v>
      </c>
      <c r="L547" s="22">
        <f>ROUND(39.27*(1+M2/100),2)</f>
        <v>39.270000000000003</v>
      </c>
      <c r="M547" s="22">
        <f>ROUND(K547*L547,2)</f>
        <v>2042.04</v>
      </c>
      <c r="N547" s="8"/>
    </row>
    <row r="548" spans="1:14" ht="12.2" customHeight="1" thickBot="1" x14ac:dyDescent="0.25">
      <c r="A548" s="8"/>
      <c r="B548" s="8"/>
      <c r="C548" s="8"/>
      <c r="D548" s="60" t="s">
        <v>1164</v>
      </c>
      <c r="E548" s="60"/>
      <c r="F548" s="60"/>
      <c r="G548" s="60"/>
      <c r="H548" s="60"/>
      <c r="I548" s="60"/>
      <c r="J548" s="60"/>
      <c r="K548" s="60"/>
      <c r="L548" s="60"/>
      <c r="M548" s="60"/>
      <c r="N548" s="8"/>
    </row>
    <row r="549" spans="1:14" ht="15.4" customHeight="1" thickBot="1" x14ac:dyDescent="0.25">
      <c r="A549" s="8"/>
      <c r="B549" s="8"/>
      <c r="C549" s="8"/>
      <c r="D549" s="8"/>
      <c r="E549" s="23"/>
      <c r="F549" s="25" t="s">
        <v>1165</v>
      </c>
      <c r="G549" s="25" t="s">
        <v>1166</v>
      </c>
      <c r="H549" s="25" t="s">
        <v>1167</v>
      </c>
      <c r="I549" s="25" t="s">
        <v>1168</v>
      </c>
      <c r="J549" s="25" t="s">
        <v>1169</v>
      </c>
      <c r="K549" s="25" t="s">
        <v>1170</v>
      </c>
      <c r="L549" s="8"/>
      <c r="M549" s="8"/>
      <c r="N549" s="8"/>
    </row>
    <row r="550" spans="1:14" ht="21.6" customHeight="1" thickBot="1" x14ac:dyDescent="0.25">
      <c r="A550" s="8"/>
      <c r="B550" s="8"/>
      <c r="C550" s="8"/>
      <c r="D550" s="26"/>
      <c r="E550" s="27" t="s">
        <v>1171</v>
      </c>
      <c r="F550" s="28">
        <v>13</v>
      </c>
      <c r="G550" s="29">
        <v>2</v>
      </c>
      <c r="H550" s="29">
        <v>2</v>
      </c>
      <c r="I550" s="29"/>
      <c r="J550" s="31">
        <f>ROUND(F550*G550*H550,2)</f>
        <v>52</v>
      </c>
      <c r="K550" s="33">
        <f>SUM(J550:J550)</f>
        <v>52</v>
      </c>
      <c r="L550" s="8"/>
      <c r="M550" s="8"/>
      <c r="N550" s="8"/>
    </row>
    <row r="551" spans="1:14" ht="15.4" customHeight="1" thickBot="1" x14ac:dyDescent="0.25">
      <c r="A551" s="36"/>
      <c r="B551" s="36"/>
      <c r="C551" s="36"/>
      <c r="D551" s="50" t="s">
        <v>1172</v>
      </c>
      <c r="E551" s="51"/>
      <c r="F551" s="51"/>
      <c r="G551" s="51"/>
      <c r="H551" s="51"/>
      <c r="I551" s="51"/>
      <c r="J551" s="51"/>
      <c r="K551" s="51"/>
      <c r="L551" s="52">
        <f>M372+M383+M391+M395+M405+M413+M446+M451+M463+M479+M484+M498+M508+M516+M537+M547</f>
        <v>60587.999999999993</v>
      </c>
      <c r="M551" s="52">
        <f>ROUND(L551,2)</f>
        <v>60588</v>
      </c>
      <c r="N551" s="8"/>
    </row>
    <row r="552" spans="1:14" ht="15.4" customHeight="1" thickBot="1" x14ac:dyDescent="0.25">
      <c r="A552" s="47" t="s">
        <v>1173</v>
      </c>
      <c r="B552" s="47" t="s">
        <v>1174</v>
      </c>
      <c r="C552" s="48"/>
      <c r="D552" s="62" t="s">
        <v>1175</v>
      </c>
      <c r="E552" s="62"/>
      <c r="F552" s="62"/>
      <c r="G552" s="62"/>
      <c r="H552" s="62"/>
      <c r="I552" s="62"/>
      <c r="J552" s="62"/>
      <c r="K552" s="48"/>
      <c r="L552" s="49">
        <f>L647</f>
        <v>60557.930000000008</v>
      </c>
      <c r="M552" s="49">
        <f>ROUND(L552,2)</f>
        <v>60557.93</v>
      </c>
      <c r="N552" s="8"/>
    </row>
    <row r="553" spans="1:14" ht="15.4" customHeight="1" thickBot="1" x14ac:dyDescent="0.25">
      <c r="A553" s="12" t="s">
        <v>1176</v>
      </c>
      <c r="B553" s="6" t="s">
        <v>1177</v>
      </c>
      <c r="C553" s="6" t="s">
        <v>1178</v>
      </c>
      <c r="D553" s="60" t="s">
        <v>1179</v>
      </c>
      <c r="E553" s="60"/>
      <c r="F553" s="60"/>
      <c r="G553" s="60"/>
      <c r="H553" s="60"/>
      <c r="I553" s="60"/>
      <c r="J553" s="60"/>
      <c r="K553" s="22">
        <f>SUM(K556:K559)</f>
        <v>6.5</v>
      </c>
      <c r="L553" s="22">
        <f>ROUND(47.6*(1+M2/100),2)</f>
        <v>47.6</v>
      </c>
      <c r="M553" s="22">
        <f>ROUND(K553*L553,2)</f>
        <v>309.39999999999998</v>
      </c>
      <c r="N553" s="8"/>
    </row>
    <row r="554" spans="1:14" ht="49.7" customHeight="1" thickBot="1" x14ac:dyDescent="0.25">
      <c r="A554" s="8"/>
      <c r="B554" s="8"/>
      <c r="C554" s="8"/>
      <c r="D554" s="60" t="s">
        <v>1180</v>
      </c>
      <c r="E554" s="60"/>
      <c r="F554" s="60"/>
      <c r="G554" s="60"/>
      <c r="H554" s="60"/>
      <c r="I554" s="60"/>
      <c r="J554" s="60"/>
      <c r="K554" s="60"/>
      <c r="L554" s="60"/>
      <c r="M554" s="60"/>
      <c r="N554" s="8"/>
    </row>
    <row r="555" spans="1:14" ht="15.4" customHeight="1" thickBot="1" x14ac:dyDescent="0.25">
      <c r="A555" s="8"/>
      <c r="B555" s="8"/>
      <c r="C555" s="8"/>
      <c r="D555" s="8"/>
      <c r="E555" s="23"/>
      <c r="F555" s="25" t="s">
        <v>1181</v>
      </c>
      <c r="G555" s="25" t="s">
        <v>1182</v>
      </c>
      <c r="H555" s="25" t="s">
        <v>1183</v>
      </c>
      <c r="I555" s="25" t="s">
        <v>1184</v>
      </c>
      <c r="J555" s="25" t="s">
        <v>1185</v>
      </c>
      <c r="K555" s="25" t="s">
        <v>1186</v>
      </c>
      <c r="L555" s="8"/>
      <c r="M555" s="8"/>
      <c r="N555" s="8"/>
    </row>
    <row r="556" spans="1:14" ht="15.4" customHeight="1" thickBot="1" x14ac:dyDescent="0.25">
      <c r="A556" s="8"/>
      <c r="B556" s="8"/>
      <c r="C556" s="8"/>
      <c r="D556" s="26"/>
      <c r="E556" s="27" t="s">
        <v>1187</v>
      </c>
      <c r="F556" s="28"/>
      <c r="G556" s="29"/>
      <c r="H556" s="29"/>
      <c r="I556" s="29"/>
      <c r="J556" s="34" t="s">
        <v>1188</v>
      </c>
      <c r="K556" s="35"/>
      <c r="L556" s="8"/>
      <c r="M556" s="8"/>
      <c r="N556" s="8"/>
    </row>
    <row r="557" spans="1:14" ht="21.6" customHeight="1" thickBot="1" x14ac:dyDescent="0.25">
      <c r="A557" s="8"/>
      <c r="B557" s="8"/>
      <c r="C557" s="8"/>
      <c r="D557" s="26"/>
      <c r="E557" s="6" t="s">
        <v>1189</v>
      </c>
      <c r="F557" s="4">
        <v>1</v>
      </c>
      <c r="G557" s="22">
        <v>2</v>
      </c>
      <c r="H557" s="22"/>
      <c r="I557" s="22"/>
      <c r="J557" s="30">
        <f>ROUND(F557*G557,2)</f>
        <v>2</v>
      </c>
      <c r="K557" s="8"/>
      <c r="L557" s="8"/>
      <c r="M557" s="8"/>
      <c r="N557" s="8"/>
    </row>
    <row r="558" spans="1:14" ht="21.6" customHeight="1" thickBot="1" x14ac:dyDescent="0.25">
      <c r="A558" s="8"/>
      <c r="B558" s="8"/>
      <c r="C558" s="8"/>
      <c r="D558" s="26"/>
      <c r="E558" s="6" t="s">
        <v>1190</v>
      </c>
      <c r="F558" s="4">
        <v>1</v>
      </c>
      <c r="G558" s="22">
        <v>2.5</v>
      </c>
      <c r="H558" s="22"/>
      <c r="I558" s="22"/>
      <c r="J558" s="30">
        <f>ROUND(F558*G558,2)</f>
        <v>2.5</v>
      </c>
      <c r="K558" s="8"/>
      <c r="L558" s="8"/>
      <c r="M558" s="8"/>
      <c r="N558" s="8"/>
    </row>
    <row r="559" spans="1:14" ht="21.6" customHeight="1" thickBot="1" x14ac:dyDescent="0.25">
      <c r="A559" s="8"/>
      <c r="B559" s="8"/>
      <c r="C559" s="8"/>
      <c r="D559" s="26"/>
      <c r="E559" s="6" t="s">
        <v>1191</v>
      </c>
      <c r="F559" s="4">
        <v>1</v>
      </c>
      <c r="G559" s="22">
        <v>2</v>
      </c>
      <c r="H559" s="22"/>
      <c r="I559" s="22"/>
      <c r="J559" s="30">
        <f>ROUND(F559*G559,2)</f>
        <v>2</v>
      </c>
      <c r="K559" s="32">
        <f>SUM(J556:J559)</f>
        <v>6.5</v>
      </c>
      <c r="L559" s="8"/>
      <c r="M559" s="8"/>
      <c r="N559" s="8"/>
    </row>
    <row r="560" spans="1:14" ht="15.4" customHeight="1" thickBot="1" x14ac:dyDescent="0.25">
      <c r="A560" s="12" t="s">
        <v>1192</v>
      </c>
      <c r="B560" s="6" t="s">
        <v>1193</v>
      </c>
      <c r="C560" s="6" t="s">
        <v>1194</v>
      </c>
      <c r="D560" s="60" t="s">
        <v>1195</v>
      </c>
      <c r="E560" s="60"/>
      <c r="F560" s="60"/>
      <c r="G560" s="60"/>
      <c r="H560" s="60"/>
      <c r="I560" s="60"/>
      <c r="J560" s="60"/>
      <c r="K560" s="22">
        <f>SUM(K563:K564)</f>
        <v>45</v>
      </c>
      <c r="L560" s="22">
        <f>ROUND(49.98*(1+M2/100),2)</f>
        <v>49.98</v>
      </c>
      <c r="M560" s="22">
        <f>ROUND(K560*L560,2)</f>
        <v>2249.1</v>
      </c>
      <c r="N560" s="8"/>
    </row>
    <row r="561" spans="1:14" ht="12.2" customHeight="1" thickBot="1" x14ac:dyDescent="0.25">
      <c r="A561" s="8"/>
      <c r="B561" s="8"/>
      <c r="C561" s="8"/>
      <c r="D561" s="60" t="s">
        <v>1196</v>
      </c>
      <c r="E561" s="60"/>
      <c r="F561" s="60"/>
      <c r="G561" s="60"/>
      <c r="H561" s="60"/>
      <c r="I561" s="60"/>
      <c r="J561" s="60"/>
      <c r="K561" s="60"/>
      <c r="L561" s="60"/>
      <c r="M561" s="60"/>
      <c r="N561" s="8"/>
    </row>
    <row r="562" spans="1:14" ht="15.4" customHeight="1" thickBot="1" x14ac:dyDescent="0.25">
      <c r="A562" s="8"/>
      <c r="B562" s="8"/>
      <c r="C562" s="8"/>
      <c r="D562" s="8"/>
      <c r="E562" s="23"/>
      <c r="F562" s="25" t="s">
        <v>1197</v>
      </c>
      <c r="G562" s="25" t="s">
        <v>1198</v>
      </c>
      <c r="H562" s="25" t="s">
        <v>1199</v>
      </c>
      <c r="I562" s="25" t="s">
        <v>1200</v>
      </c>
      <c r="J562" s="25" t="s">
        <v>1201</v>
      </c>
      <c r="K562" s="25" t="s">
        <v>1202</v>
      </c>
      <c r="L562" s="8"/>
      <c r="M562" s="8"/>
      <c r="N562" s="8"/>
    </row>
    <row r="563" spans="1:14" ht="15.4" customHeight="1" thickBot="1" x14ac:dyDescent="0.25">
      <c r="A563" s="8"/>
      <c r="B563" s="8"/>
      <c r="C563" s="8"/>
      <c r="D563" s="26"/>
      <c r="E563" s="27" t="s">
        <v>1203</v>
      </c>
      <c r="F563" s="28"/>
      <c r="G563" s="29"/>
      <c r="H563" s="29"/>
      <c r="I563" s="29"/>
      <c r="J563" s="34" t="s">
        <v>1204</v>
      </c>
      <c r="K563" s="35"/>
      <c r="L563" s="8"/>
      <c r="M563" s="8"/>
      <c r="N563" s="8"/>
    </row>
    <row r="564" spans="1:14" ht="21.6" customHeight="1" thickBot="1" x14ac:dyDescent="0.25">
      <c r="A564" s="8"/>
      <c r="B564" s="8"/>
      <c r="C564" s="8"/>
      <c r="D564" s="26"/>
      <c r="E564" s="6" t="s">
        <v>1205</v>
      </c>
      <c r="F564" s="4">
        <v>1</v>
      </c>
      <c r="G564" s="22">
        <v>45</v>
      </c>
      <c r="H564" s="22"/>
      <c r="I564" s="22"/>
      <c r="J564" s="30">
        <f>ROUND(F564*G564,2)</f>
        <v>45</v>
      </c>
      <c r="K564" s="32">
        <f>SUM(J563:J564)</f>
        <v>45</v>
      </c>
      <c r="L564" s="8"/>
      <c r="M564" s="8"/>
      <c r="N564" s="8"/>
    </row>
    <row r="565" spans="1:14" ht="15.4" customHeight="1" thickBot="1" x14ac:dyDescent="0.25">
      <c r="A565" s="12" t="s">
        <v>1206</v>
      </c>
      <c r="B565" s="6" t="s">
        <v>1207</v>
      </c>
      <c r="C565" s="6" t="s">
        <v>1208</v>
      </c>
      <c r="D565" s="60" t="s">
        <v>1209</v>
      </c>
      <c r="E565" s="60"/>
      <c r="F565" s="60"/>
      <c r="G565" s="60"/>
      <c r="H565" s="60"/>
      <c r="I565" s="60"/>
      <c r="J565" s="60"/>
      <c r="K565" s="22">
        <f>SUM(K568:K576)</f>
        <v>193</v>
      </c>
      <c r="L565" s="22">
        <f>ROUND(48.78*(1+M2/100),2)</f>
        <v>48.78</v>
      </c>
      <c r="M565" s="22">
        <f>ROUND(K565*L565,2)</f>
        <v>9414.5400000000009</v>
      </c>
      <c r="N565" s="8"/>
    </row>
    <row r="566" spans="1:14" ht="40.35" customHeight="1" thickBot="1" x14ac:dyDescent="0.25">
      <c r="A566" s="8"/>
      <c r="B566" s="8"/>
      <c r="C566" s="8"/>
      <c r="D566" s="60" t="s">
        <v>1210</v>
      </c>
      <c r="E566" s="60"/>
      <c r="F566" s="60"/>
      <c r="G566" s="60"/>
      <c r="H566" s="60"/>
      <c r="I566" s="60"/>
      <c r="J566" s="60"/>
      <c r="K566" s="60"/>
      <c r="L566" s="60"/>
      <c r="M566" s="60"/>
      <c r="N566" s="8"/>
    </row>
    <row r="567" spans="1:14" ht="15.4" customHeight="1" thickBot="1" x14ac:dyDescent="0.25">
      <c r="A567" s="8"/>
      <c r="B567" s="8"/>
      <c r="C567" s="8"/>
      <c r="D567" s="8"/>
      <c r="E567" s="23"/>
      <c r="F567" s="25" t="s">
        <v>1211</v>
      </c>
      <c r="G567" s="25" t="s">
        <v>1212</v>
      </c>
      <c r="H567" s="25" t="s">
        <v>1213</v>
      </c>
      <c r="I567" s="25" t="s">
        <v>1214</v>
      </c>
      <c r="J567" s="25" t="s">
        <v>1215</v>
      </c>
      <c r="K567" s="25" t="s">
        <v>1216</v>
      </c>
      <c r="L567" s="8"/>
      <c r="M567" s="8"/>
      <c r="N567" s="8"/>
    </row>
    <row r="568" spans="1:14" ht="15.4" customHeight="1" thickBot="1" x14ac:dyDescent="0.25">
      <c r="A568" s="8"/>
      <c r="B568" s="8"/>
      <c r="C568" s="8"/>
      <c r="D568" s="26"/>
      <c r="E568" s="27" t="s">
        <v>1217</v>
      </c>
      <c r="F568" s="28"/>
      <c r="G568" s="29"/>
      <c r="H568" s="29"/>
      <c r="I568" s="29"/>
      <c r="J568" s="34" t="s">
        <v>1218</v>
      </c>
      <c r="K568" s="35"/>
      <c r="L568" s="8"/>
      <c r="M568" s="8"/>
      <c r="N568" s="8"/>
    </row>
    <row r="569" spans="1:14" ht="21.6" customHeight="1" thickBot="1" x14ac:dyDescent="0.25">
      <c r="A569" s="8"/>
      <c r="B569" s="8"/>
      <c r="C569" s="8"/>
      <c r="D569" s="26"/>
      <c r="E569" s="6" t="s">
        <v>1219</v>
      </c>
      <c r="F569" s="4">
        <v>1</v>
      </c>
      <c r="G569" s="22">
        <v>65</v>
      </c>
      <c r="H569" s="22"/>
      <c r="I569" s="22"/>
      <c r="J569" s="30">
        <f t="shared" ref="J569:J576" si="12">ROUND(F569*G569,2)</f>
        <v>65</v>
      </c>
      <c r="K569" s="8"/>
      <c r="L569" s="8"/>
      <c r="M569" s="8"/>
      <c r="N569" s="8"/>
    </row>
    <row r="570" spans="1:14" ht="15.4" customHeight="1" thickBot="1" x14ac:dyDescent="0.25">
      <c r="A570" s="8"/>
      <c r="B570" s="8"/>
      <c r="C570" s="8"/>
      <c r="D570" s="26"/>
      <c r="E570" s="6" t="s">
        <v>1220</v>
      </c>
      <c r="F570" s="4">
        <v>1</v>
      </c>
      <c r="G570" s="22">
        <v>10</v>
      </c>
      <c r="H570" s="22"/>
      <c r="I570" s="22"/>
      <c r="J570" s="30">
        <f t="shared" si="12"/>
        <v>10</v>
      </c>
      <c r="K570" s="8"/>
      <c r="L570" s="8"/>
      <c r="M570" s="8"/>
      <c r="N570" s="8"/>
    </row>
    <row r="571" spans="1:14" ht="15.4" customHeight="1" thickBot="1" x14ac:dyDescent="0.25">
      <c r="A571" s="8"/>
      <c r="B571" s="8"/>
      <c r="C571" s="8"/>
      <c r="D571" s="26"/>
      <c r="E571" s="6" t="s">
        <v>1221</v>
      </c>
      <c r="F571" s="4">
        <v>1</v>
      </c>
      <c r="G571" s="22">
        <v>9</v>
      </c>
      <c r="H571" s="22"/>
      <c r="I571" s="22"/>
      <c r="J571" s="30">
        <f t="shared" si="12"/>
        <v>9</v>
      </c>
      <c r="K571" s="8"/>
      <c r="L571" s="8"/>
      <c r="M571" s="8"/>
      <c r="N571" s="8"/>
    </row>
    <row r="572" spans="1:14" ht="21.6" customHeight="1" thickBot="1" x14ac:dyDescent="0.25">
      <c r="A572" s="8"/>
      <c r="B572" s="8"/>
      <c r="C572" s="8"/>
      <c r="D572" s="26"/>
      <c r="E572" s="6" t="s">
        <v>1222</v>
      </c>
      <c r="F572" s="4">
        <v>1</v>
      </c>
      <c r="G572" s="22">
        <v>65</v>
      </c>
      <c r="H572" s="22"/>
      <c r="I572" s="22"/>
      <c r="J572" s="30">
        <f t="shared" si="12"/>
        <v>65</v>
      </c>
      <c r="K572" s="8"/>
      <c r="L572" s="8"/>
      <c r="M572" s="8"/>
      <c r="N572" s="8"/>
    </row>
    <row r="573" spans="1:14" ht="15.4" customHeight="1" thickBot="1" x14ac:dyDescent="0.25">
      <c r="A573" s="8"/>
      <c r="B573" s="8"/>
      <c r="C573" s="8"/>
      <c r="D573" s="26"/>
      <c r="E573" s="6" t="s">
        <v>1223</v>
      </c>
      <c r="F573" s="4">
        <v>1</v>
      </c>
      <c r="G573" s="22">
        <v>9</v>
      </c>
      <c r="H573" s="22"/>
      <c r="I573" s="22"/>
      <c r="J573" s="30">
        <f t="shared" si="12"/>
        <v>9</v>
      </c>
      <c r="K573" s="8"/>
      <c r="L573" s="8"/>
      <c r="M573" s="8"/>
      <c r="N573" s="8"/>
    </row>
    <row r="574" spans="1:14" ht="15.4" customHeight="1" thickBot="1" x14ac:dyDescent="0.25">
      <c r="A574" s="8"/>
      <c r="B574" s="8"/>
      <c r="C574" s="8"/>
      <c r="D574" s="26"/>
      <c r="E574" s="6" t="s">
        <v>1224</v>
      </c>
      <c r="F574" s="4">
        <v>1</v>
      </c>
      <c r="G574" s="22">
        <v>8.5</v>
      </c>
      <c r="H574" s="22"/>
      <c r="I574" s="22"/>
      <c r="J574" s="30">
        <f t="shared" si="12"/>
        <v>8.5</v>
      </c>
      <c r="K574" s="8"/>
      <c r="L574" s="8"/>
      <c r="M574" s="8"/>
      <c r="N574" s="8"/>
    </row>
    <row r="575" spans="1:14" ht="21.6" customHeight="1" thickBot="1" x14ac:dyDescent="0.25">
      <c r="A575" s="8"/>
      <c r="B575" s="8"/>
      <c r="C575" s="8"/>
      <c r="D575" s="26"/>
      <c r="E575" s="6" t="s">
        <v>1225</v>
      </c>
      <c r="F575" s="4">
        <v>2</v>
      </c>
      <c r="G575" s="22">
        <v>9.5</v>
      </c>
      <c r="H575" s="22"/>
      <c r="I575" s="22"/>
      <c r="J575" s="30">
        <f t="shared" si="12"/>
        <v>19</v>
      </c>
      <c r="K575" s="8"/>
      <c r="L575" s="8"/>
      <c r="M575" s="8"/>
      <c r="N575" s="8"/>
    </row>
    <row r="576" spans="1:14" ht="15.4" customHeight="1" thickBot="1" x14ac:dyDescent="0.25">
      <c r="A576" s="8"/>
      <c r="B576" s="8"/>
      <c r="C576" s="8"/>
      <c r="D576" s="26"/>
      <c r="E576" s="6" t="s">
        <v>1226</v>
      </c>
      <c r="F576" s="4">
        <v>1</v>
      </c>
      <c r="G576" s="22">
        <v>7.5</v>
      </c>
      <c r="H576" s="22"/>
      <c r="I576" s="22"/>
      <c r="J576" s="30">
        <f t="shared" si="12"/>
        <v>7.5</v>
      </c>
      <c r="K576" s="32">
        <f>SUM(J568:J576)</f>
        <v>193</v>
      </c>
      <c r="L576" s="8"/>
      <c r="M576" s="8"/>
      <c r="N576" s="8"/>
    </row>
    <row r="577" spans="1:14" ht="15.4" customHeight="1" thickBot="1" x14ac:dyDescent="0.25">
      <c r="A577" s="12" t="s">
        <v>1227</v>
      </c>
      <c r="B577" s="6" t="s">
        <v>1228</v>
      </c>
      <c r="C577" s="6" t="s">
        <v>1229</v>
      </c>
      <c r="D577" s="60" t="s">
        <v>1230</v>
      </c>
      <c r="E577" s="60"/>
      <c r="F577" s="60"/>
      <c r="G577" s="60"/>
      <c r="H577" s="60"/>
      <c r="I577" s="60"/>
      <c r="J577" s="60"/>
      <c r="K577" s="22">
        <f>SUM(K580:K584)</f>
        <v>147</v>
      </c>
      <c r="L577" s="22">
        <f>ROUND(49.98*(1+M2/100),2)</f>
        <v>49.98</v>
      </c>
      <c r="M577" s="22">
        <f>ROUND(K577*L577,2)</f>
        <v>7347.06</v>
      </c>
      <c r="N577" s="8"/>
    </row>
    <row r="578" spans="1:14" ht="49.7" customHeight="1" thickBot="1" x14ac:dyDescent="0.25">
      <c r="A578" s="8"/>
      <c r="B578" s="8"/>
      <c r="C578" s="8"/>
      <c r="D578" s="60" t="s">
        <v>1231</v>
      </c>
      <c r="E578" s="60"/>
      <c r="F578" s="60"/>
      <c r="G578" s="60"/>
      <c r="H578" s="60"/>
      <c r="I578" s="60"/>
      <c r="J578" s="60"/>
      <c r="K578" s="60"/>
      <c r="L578" s="60"/>
      <c r="M578" s="60"/>
      <c r="N578" s="8"/>
    </row>
    <row r="579" spans="1:14" ht="15.4" customHeight="1" thickBot="1" x14ac:dyDescent="0.25">
      <c r="A579" s="8"/>
      <c r="B579" s="8"/>
      <c r="C579" s="8"/>
      <c r="D579" s="8"/>
      <c r="E579" s="23"/>
      <c r="F579" s="25" t="s">
        <v>1232</v>
      </c>
      <c r="G579" s="25" t="s">
        <v>1233</v>
      </c>
      <c r="H579" s="25" t="s">
        <v>1234</v>
      </c>
      <c r="I579" s="25" t="s">
        <v>1235</v>
      </c>
      <c r="J579" s="25" t="s">
        <v>1236</v>
      </c>
      <c r="K579" s="25" t="s">
        <v>1237</v>
      </c>
      <c r="L579" s="8"/>
      <c r="M579" s="8"/>
      <c r="N579" s="8"/>
    </row>
    <row r="580" spans="1:14" ht="15.4" customHeight="1" thickBot="1" x14ac:dyDescent="0.25">
      <c r="A580" s="8"/>
      <c r="B580" s="8"/>
      <c r="C580" s="8"/>
      <c r="D580" s="26"/>
      <c r="E580" s="27" t="s">
        <v>1238</v>
      </c>
      <c r="F580" s="28"/>
      <c r="G580" s="29"/>
      <c r="H580" s="29"/>
      <c r="I580" s="29"/>
      <c r="J580" s="34" t="s">
        <v>1239</v>
      </c>
      <c r="K580" s="35"/>
      <c r="L580" s="8"/>
      <c r="M580" s="8"/>
      <c r="N580" s="8"/>
    </row>
    <row r="581" spans="1:14" ht="15.4" customHeight="1" thickBot="1" x14ac:dyDescent="0.25">
      <c r="A581" s="8"/>
      <c r="B581" s="8"/>
      <c r="C581" s="8"/>
      <c r="D581" s="26"/>
      <c r="E581" s="6" t="s">
        <v>1240</v>
      </c>
      <c r="F581" s="4">
        <v>1</v>
      </c>
      <c r="G581" s="22">
        <v>18</v>
      </c>
      <c r="H581" s="22"/>
      <c r="I581" s="22"/>
      <c r="J581" s="30">
        <f>ROUND(F581*G581,2)</f>
        <v>18</v>
      </c>
      <c r="K581" s="8"/>
      <c r="L581" s="8"/>
      <c r="M581" s="8"/>
      <c r="N581" s="8"/>
    </row>
    <row r="582" spans="1:14" ht="15.4" customHeight="1" thickBot="1" x14ac:dyDescent="0.25">
      <c r="A582" s="8"/>
      <c r="B582" s="8"/>
      <c r="C582" s="8"/>
      <c r="D582" s="26"/>
      <c r="E582" s="6" t="s">
        <v>1241</v>
      </c>
      <c r="F582" s="4">
        <v>1</v>
      </c>
      <c r="G582" s="22">
        <v>9</v>
      </c>
      <c r="H582" s="22"/>
      <c r="I582" s="22"/>
      <c r="J582" s="30">
        <f>ROUND(F582*G582,2)</f>
        <v>9</v>
      </c>
      <c r="K582" s="8"/>
      <c r="L582" s="8"/>
      <c r="M582" s="8"/>
      <c r="N582" s="8"/>
    </row>
    <row r="583" spans="1:14" ht="15.4" customHeight="1" thickBot="1" x14ac:dyDescent="0.25">
      <c r="A583" s="8"/>
      <c r="B583" s="8"/>
      <c r="C583" s="8"/>
      <c r="D583" s="26"/>
      <c r="E583" s="6" t="s">
        <v>1242</v>
      </c>
      <c r="F583" s="4">
        <v>1</v>
      </c>
      <c r="G583" s="22">
        <v>10</v>
      </c>
      <c r="H583" s="22"/>
      <c r="I583" s="22"/>
      <c r="J583" s="30">
        <f>ROUND(F583*G583,2)</f>
        <v>10</v>
      </c>
      <c r="K583" s="8"/>
      <c r="L583" s="8"/>
      <c r="M583" s="8"/>
      <c r="N583" s="8"/>
    </row>
    <row r="584" spans="1:14" ht="15.4" customHeight="1" thickBot="1" x14ac:dyDescent="0.25">
      <c r="A584" s="8"/>
      <c r="B584" s="8"/>
      <c r="C584" s="8"/>
      <c r="D584" s="26"/>
      <c r="E584" s="6" t="s">
        <v>1243</v>
      </c>
      <c r="F584" s="4">
        <v>1</v>
      </c>
      <c r="G584" s="22">
        <v>110</v>
      </c>
      <c r="H584" s="22"/>
      <c r="I584" s="22"/>
      <c r="J584" s="30">
        <f>ROUND(F584*G584,2)</f>
        <v>110</v>
      </c>
      <c r="K584" s="32">
        <f>SUM(J580:J584)</f>
        <v>147</v>
      </c>
      <c r="L584" s="8"/>
      <c r="M584" s="8"/>
      <c r="N584" s="8"/>
    </row>
    <row r="585" spans="1:14" ht="15.4" customHeight="1" thickBot="1" x14ac:dyDescent="0.25">
      <c r="A585" s="12" t="s">
        <v>1244</v>
      </c>
      <c r="B585" s="6" t="s">
        <v>1245</v>
      </c>
      <c r="C585" s="6" t="s">
        <v>1246</v>
      </c>
      <c r="D585" s="60" t="s">
        <v>1247</v>
      </c>
      <c r="E585" s="60"/>
      <c r="F585" s="60"/>
      <c r="G585" s="60"/>
      <c r="H585" s="60"/>
      <c r="I585" s="60"/>
      <c r="J585" s="60"/>
      <c r="K585" s="22">
        <f>SUM(K588:K591)</f>
        <v>165</v>
      </c>
      <c r="L585" s="22">
        <f>ROUND(49.98*(1+M2/100),2)</f>
        <v>49.98</v>
      </c>
      <c r="M585" s="22">
        <f>ROUND(K585*L585,2)</f>
        <v>8246.7000000000007</v>
      </c>
      <c r="N585" s="8"/>
    </row>
    <row r="586" spans="1:14" ht="21.6" customHeight="1" thickBot="1" x14ac:dyDescent="0.25">
      <c r="A586" s="8"/>
      <c r="B586" s="8"/>
      <c r="C586" s="8"/>
      <c r="D586" s="60" t="s">
        <v>1248</v>
      </c>
      <c r="E586" s="60"/>
      <c r="F586" s="60"/>
      <c r="G586" s="60"/>
      <c r="H586" s="60"/>
      <c r="I586" s="60"/>
      <c r="J586" s="60"/>
      <c r="K586" s="60"/>
      <c r="L586" s="60"/>
      <c r="M586" s="60"/>
      <c r="N586" s="8"/>
    </row>
    <row r="587" spans="1:14" ht="15.4" customHeight="1" thickBot="1" x14ac:dyDescent="0.25">
      <c r="A587" s="8"/>
      <c r="B587" s="8"/>
      <c r="C587" s="8"/>
      <c r="D587" s="8"/>
      <c r="E587" s="23"/>
      <c r="F587" s="25" t="s">
        <v>1249</v>
      </c>
      <c r="G587" s="25" t="s">
        <v>1250</v>
      </c>
      <c r="H587" s="25" t="s">
        <v>1251</v>
      </c>
      <c r="I587" s="25" t="s">
        <v>1252</v>
      </c>
      <c r="J587" s="25" t="s">
        <v>1253</v>
      </c>
      <c r="K587" s="25" t="s">
        <v>1254</v>
      </c>
      <c r="L587" s="8"/>
      <c r="M587" s="8"/>
      <c r="N587" s="8"/>
    </row>
    <row r="588" spans="1:14" ht="15.4" customHeight="1" thickBot="1" x14ac:dyDescent="0.25">
      <c r="A588" s="8"/>
      <c r="B588" s="8"/>
      <c r="C588" s="8"/>
      <c r="D588" s="26"/>
      <c r="E588" s="27" t="s">
        <v>1255</v>
      </c>
      <c r="F588" s="28"/>
      <c r="G588" s="29"/>
      <c r="H588" s="29"/>
      <c r="I588" s="29"/>
      <c r="J588" s="34" t="s">
        <v>1256</v>
      </c>
      <c r="K588" s="35"/>
      <c r="L588" s="8"/>
      <c r="M588" s="8"/>
      <c r="N588" s="8"/>
    </row>
    <row r="589" spans="1:14" ht="15.4" customHeight="1" thickBot="1" x14ac:dyDescent="0.25">
      <c r="A589" s="8"/>
      <c r="B589" s="8"/>
      <c r="C589" s="8"/>
      <c r="D589" s="26"/>
      <c r="E589" s="6" t="s">
        <v>1257</v>
      </c>
      <c r="F589" s="4">
        <v>1</v>
      </c>
      <c r="G589" s="22">
        <v>70</v>
      </c>
      <c r="H589" s="22"/>
      <c r="I589" s="22"/>
      <c r="J589" s="30">
        <f>ROUND(F589*G589,2)</f>
        <v>70</v>
      </c>
      <c r="K589" s="8"/>
      <c r="L589" s="8"/>
      <c r="M589" s="8"/>
      <c r="N589" s="8"/>
    </row>
    <row r="590" spans="1:14" ht="15.4" customHeight="1" thickBot="1" x14ac:dyDescent="0.25">
      <c r="A590" s="8"/>
      <c r="B590" s="8"/>
      <c r="C590" s="8"/>
      <c r="D590" s="26"/>
      <c r="E590" s="6" t="s">
        <v>1258</v>
      </c>
      <c r="F590" s="4">
        <v>1</v>
      </c>
      <c r="G590" s="22">
        <v>55</v>
      </c>
      <c r="H590" s="22"/>
      <c r="I590" s="22"/>
      <c r="J590" s="30">
        <f>ROUND(F590*G590,2)</f>
        <v>55</v>
      </c>
      <c r="K590" s="8"/>
      <c r="L590" s="8"/>
      <c r="M590" s="8"/>
      <c r="N590" s="8"/>
    </row>
    <row r="591" spans="1:14" ht="15.4" customHeight="1" thickBot="1" x14ac:dyDescent="0.25">
      <c r="A591" s="8"/>
      <c r="B591" s="8"/>
      <c r="C591" s="8"/>
      <c r="D591" s="26"/>
      <c r="E591" s="6" t="s">
        <v>1259</v>
      </c>
      <c r="F591" s="4">
        <v>1</v>
      </c>
      <c r="G591" s="22">
        <v>40</v>
      </c>
      <c r="H591" s="22"/>
      <c r="I591" s="22"/>
      <c r="J591" s="30">
        <f>ROUND(F591*G591,2)</f>
        <v>40</v>
      </c>
      <c r="K591" s="32">
        <f>SUM(J588:J591)</f>
        <v>165</v>
      </c>
      <c r="L591" s="8"/>
      <c r="M591" s="8"/>
      <c r="N591" s="8"/>
    </row>
    <row r="592" spans="1:14" ht="15.4" customHeight="1" thickBot="1" x14ac:dyDescent="0.25">
      <c r="A592" s="12" t="s">
        <v>1260</v>
      </c>
      <c r="B592" s="6" t="s">
        <v>1261</v>
      </c>
      <c r="C592" s="6" t="s">
        <v>1262</v>
      </c>
      <c r="D592" s="60" t="s">
        <v>1263</v>
      </c>
      <c r="E592" s="60"/>
      <c r="F592" s="60"/>
      <c r="G592" s="60"/>
      <c r="H592" s="60"/>
      <c r="I592" s="60"/>
      <c r="J592" s="60"/>
      <c r="K592" s="22">
        <f>SUM(K595:K601)</f>
        <v>455</v>
      </c>
      <c r="L592" s="22">
        <f>ROUND(49.98*(1+M2/100),2)</f>
        <v>49.98</v>
      </c>
      <c r="M592" s="22">
        <f>ROUND(K592*L592,2)</f>
        <v>22740.9</v>
      </c>
      <c r="N592" s="8"/>
    </row>
    <row r="593" spans="1:14" ht="12.2" customHeight="1" thickBot="1" x14ac:dyDescent="0.25">
      <c r="A593" s="8"/>
      <c r="B593" s="8"/>
      <c r="C593" s="8"/>
      <c r="D593" s="60" t="s">
        <v>1264</v>
      </c>
      <c r="E593" s="60"/>
      <c r="F593" s="60"/>
      <c r="G593" s="60"/>
      <c r="H593" s="60"/>
      <c r="I593" s="60"/>
      <c r="J593" s="60"/>
      <c r="K593" s="60"/>
      <c r="L593" s="60"/>
      <c r="M593" s="60"/>
      <c r="N593" s="8"/>
    </row>
    <row r="594" spans="1:14" ht="15.4" customHeight="1" thickBot="1" x14ac:dyDescent="0.25">
      <c r="A594" s="8"/>
      <c r="B594" s="8"/>
      <c r="C594" s="8"/>
      <c r="D594" s="8"/>
      <c r="E594" s="23"/>
      <c r="F594" s="25" t="s">
        <v>1265</v>
      </c>
      <c r="G594" s="25" t="s">
        <v>1266</v>
      </c>
      <c r="H594" s="25" t="s">
        <v>1267</v>
      </c>
      <c r="I594" s="25" t="s">
        <v>1268</v>
      </c>
      <c r="J594" s="25" t="s">
        <v>1269</v>
      </c>
      <c r="K594" s="25" t="s">
        <v>1270</v>
      </c>
      <c r="L594" s="8"/>
      <c r="M594" s="8"/>
      <c r="N594" s="8"/>
    </row>
    <row r="595" spans="1:14" ht="15.4" customHeight="1" thickBot="1" x14ac:dyDescent="0.25">
      <c r="A595" s="8"/>
      <c r="B595" s="8"/>
      <c r="C595" s="8"/>
      <c r="D595" s="26"/>
      <c r="E595" s="27" t="s">
        <v>1271</v>
      </c>
      <c r="F595" s="28"/>
      <c r="G595" s="29"/>
      <c r="H595" s="29"/>
      <c r="I595" s="29"/>
      <c r="J595" s="34" t="s">
        <v>1272</v>
      </c>
      <c r="K595" s="35"/>
      <c r="L595" s="8"/>
      <c r="M595" s="8"/>
      <c r="N595" s="8"/>
    </row>
    <row r="596" spans="1:14" ht="15.4" customHeight="1" thickBot="1" x14ac:dyDescent="0.25">
      <c r="A596" s="8"/>
      <c r="B596" s="8"/>
      <c r="C596" s="8"/>
      <c r="D596" s="26"/>
      <c r="E596" s="6" t="s">
        <v>1273</v>
      </c>
      <c r="F596" s="4">
        <v>1</v>
      </c>
      <c r="G596" s="22">
        <v>270</v>
      </c>
      <c r="H596" s="22"/>
      <c r="I596" s="22"/>
      <c r="J596" s="30">
        <f>ROUND(F596*G596,2)</f>
        <v>270</v>
      </c>
      <c r="K596" s="8"/>
      <c r="L596" s="8"/>
      <c r="M596" s="8"/>
      <c r="N596" s="8"/>
    </row>
    <row r="597" spans="1:14" ht="15.4" customHeight="1" thickBot="1" x14ac:dyDescent="0.25">
      <c r="A597" s="8"/>
      <c r="B597" s="8"/>
      <c r="C597" s="8"/>
      <c r="D597" s="26"/>
      <c r="E597" s="6" t="s">
        <v>1274</v>
      </c>
      <c r="F597" s="4">
        <v>1</v>
      </c>
      <c r="G597" s="22">
        <v>90</v>
      </c>
      <c r="H597" s="22"/>
      <c r="I597" s="22"/>
      <c r="J597" s="30">
        <f>ROUND(F597*G597,2)</f>
        <v>90</v>
      </c>
      <c r="K597" s="8"/>
      <c r="L597" s="8"/>
      <c r="M597" s="8"/>
      <c r="N597" s="8"/>
    </row>
    <row r="598" spans="1:14" ht="15.4" customHeight="1" thickBot="1" x14ac:dyDescent="0.25">
      <c r="A598" s="8"/>
      <c r="B598" s="8"/>
      <c r="C598" s="8"/>
      <c r="D598" s="26"/>
      <c r="E598" s="6" t="s">
        <v>1275</v>
      </c>
      <c r="F598" s="4">
        <v>1</v>
      </c>
      <c r="G598" s="22">
        <v>95</v>
      </c>
      <c r="H598" s="22"/>
      <c r="I598" s="22"/>
      <c r="J598" s="30">
        <f>ROUND(F598*G598,2)</f>
        <v>95</v>
      </c>
      <c r="K598" s="8"/>
      <c r="L598" s="8"/>
      <c r="M598" s="8"/>
      <c r="N598" s="8"/>
    </row>
    <row r="599" spans="1:14" ht="15.4" customHeight="1" thickBot="1" x14ac:dyDescent="0.25">
      <c r="A599" s="8"/>
      <c r="B599" s="8"/>
      <c r="C599" s="8"/>
      <c r="D599" s="26"/>
      <c r="E599" s="6" t="s">
        <v>1276</v>
      </c>
      <c r="F599" s="4">
        <v>-1</v>
      </c>
      <c r="G599" s="22">
        <v>4.5</v>
      </c>
      <c r="H599" s="22"/>
      <c r="I599" s="22"/>
      <c r="J599" s="30">
        <f>ROUND(F599*G599,2)</f>
        <v>-4.5</v>
      </c>
      <c r="K599" s="8"/>
      <c r="L599" s="8"/>
      <c r="M599" s="8"/>
      <c r="N599" s="8"/>
    </row>
    <row r="600" spans="1:14" ht="15.4" customHeight="1" thickBot="1" x14ac:dyDescent="0.25">
      <c r="A600" s="8"/>
      <c r="B600" s="8"/>
      <c r="C600" s="8"/>
      <c r="D600" s="26"/>
      <c r="E600" s="6" t="s">
        <v>1277</v>
      </c>
      <c r="F600" s="4"/>
      <c r="G600" s="22"/>
      <c r="H600" s="22"/>
      <c r="I600" s="22"/>
      <c r="J600" s="24" t="s">
        <v>1278</v>
      </c>
      <c r="K600" s="8"/>
      <c r="L600" s="8"/>
      <c r="M600" s="8"/>
      <c r="N600" s="8"/>
    </row>
    <row r="601" spans="1:14" ht="15.4" customHeight="1" thickBot="1" x14ac:dyDescent="0.25">
      <c r="A601" s="8"/>
      <c r="B601" s="8"/>
      <c r="C601" s="8"/>
      <c r="D601" s="26"/>
      <c r="E601" s="6" t="s">
        <v>1279</v>
      </c>
      <c r="F601" s="4">
        <v>1</v>
      </c>
      <c r="G601" s="22">
        <v>4.5</v>
      </c>
      <c r="H601" s="22"/>
      <c r="I601" s="22"/>
      <c r="J601" s="30">
        <f>ROUND(F601*G601,2)</f>
        <v>4.5</v>
      </c>
      <c r="K601" s="32">
        <f>SUM(J595:J601)</f>
        <v>455</v>
      </c>
      <c r="L601" s="8"/>
      <c r="M601" s="8"/>
      <c r="N601" s="8"/>
    </row>
    <row r="602" spans="1:14" ht="15.4" customHeight="1" thickBot="1" x14ac:dyDescent="0.25">
      <c r="A602" s="12" t="s">
        <v>1280</v>
      </c>
      <c r="B602" s="6" t="s">
        <v>1281</v>
      </c>
      <c r="C602" s="6" t="s">
        <v>1282</v>
      </c>
      <c r="D602" s="60" t="s">
        <v>1283</v>
      </c>
      <c r="E602" s="60"/>
      <c r="F602" s="60"/>
      <c r="G602" s="60"/>
      <c r="H602" s="60"/>
      <c r="I602" s="60"/>
      <c r="J602" s="60"/>
      <c r="K602" s="22">
        <f>SUM(K605:K617)</f>
        <v>15.47</v>
      </c>
      <c r="L602" s="22">
        <f>ROUND(35.7*(1+M2/100),2)</f>
        <v>35.700000000000003</v>
      </c>
      <c r="M602" s="22">
        <f>ROUND(K602*L602,2)</f>
        <v>552.28</v>
      </c>
      <c r="N602" s="8"/>
    </row>
    <row r="603" spans="1:14" ht="21.6" customHeight="1" thickBot="1" x14ac:dyDescent="0.25">
      <c r="A603" s="8"/>
      <c r="B603" s="8"/>
      <c r="C603" s="8"/>
      <c r="D603" s="60" t="s">
        <v>1284</v>
      </c>
      <c r="E603" s="60"/>
      <c r="F603" s="60"/>
      <c r="G603" s="60"/>
      <c r="H603" s="60"/>
      <c r="I603" s="60"/>
      <c r="J603" s="60"/>
      <c r="K603" s="60"/>
      <c r="L603" s="60"/>
      <c r="M603" s="60"/>
      <c r="N603" s="8"/>
    </row>
    <row r="604" spans="1:14" ht="15.4" customHeight="1" thickBot="1" x14ac:dyDescent="0.25">
      <c r="A604" s="8"/>
      <c r="B604" s="8"/>
      <c r="C604" s="8"/>
      <c r="D604" s="8"/>
      <c r="E604" s="23"/>
      <c r="F604" s="25" t="s">
        <v>1285</v>
      </c>
      <c r="G604" s="25" t="s">
        <v>1286</v>
      </c>
      <c r="H604" s="25" t="s">
        <v>1287</v>
      </c>
      <c r="I604" s="25" t="s">
        <v>1288</v>
      </c>
      <c r="J604" s="25" t="s">
        <v>1289</v>
      </c>
      <c r="K604" s="25" t="s">
        <v>1290</v>
      </c>
      <c r="L604" s="8"/>
      <c r="M604" s="8"/>
      <c r="N604" s="8"/>
    </row>
    <row r="605" spans="1:14" ht="21.6" customHeight="1" thickBot="1" x14ac:dyDescent="0.25">
      <c r="A605" s="8"/>
      <c r="B605" s="8"/>
      <c r="C605" s="8"/>
      <c r="D605" s="26"/>
      <c r="E605" s="27" t="s">
        <v>1291</v>
      </c>
      <c r="F605" s="28"/>
      <c r="G605" s="29"/>
      <c r="H605" s="29"/>
      <c r="I605" s="29"/>
      <c r="J605" s="34" t="s">
        <v>1292</v>
      </c>
      <c r="K605" s="35"/>
      <c r="L605" s="8"/>
      <c r="M605" s="8"/>
      <c r="N605" s="8"/>
    </row>
    <row r="606" spans="1:14" ht="15.4" customHeight="1" thickBot="1" x14ac:dyDescent="0.25">
      <c r="A606" s="8"/>
      <c r="B606" s="8"/>
      <c r="C606" s="8"/>
      <c r="D606" s="26"/>
      <c r="E606" s="6" t="s">
        <v>1293</v>
      </c>
      <c r="F606" s="4">
        <v>1</v>
      </c>
      <c r="G606" s="22">
        <v>0.8</v>
      </c>
      <c r="H606" s="22"/>
      <c r="I606" s="22"/>
      <c r="J606" s="30">
        <f t="shared" ref="J606:J614" si="13">ROUND(F606*G606,2)</f>
        <v>0.8</v>
      </c>
      <c r="K606" s="8"/>
      <c r="L606" s="8"/>
      <c r="M606" s="8"/>
      <c r="N606" s="8"/>
    </row>
    <row r="607" spans="1:14" ht="15.4" customHeight="1" thickBot="1" x14ac:dyDescent="0.25">
      <c r="A607" s="8"/>
      <c r="B607" s="8"/>
      <c r="C607" s="8"/>
      <c r="D607" s="26"/>
      <c r="E607" s="6" t="s">
        <v>1294</v>
      </c>
      <c r="F607" s="4">
        <v>1</v>
      </c>
      <c r="G607" s="22">
        <v>1.1000000000000001</v>
      </c>
      <c r="H607" s="22"/>
      <c r="I607" s="22"/>
      <c r="J607" s="30">
        <f t="shared" si="13"/>
        <v>1.1000000000000001</v>
      </c>
      <c r="K607" s="8"/>
      <c r="L607" s="8"/>
      <c r="M607" s="8"/>
      <c r="N607" s="8"/>
    </row>
    <row r="608" spans="1:14" ht="15.4" customHeight="1" thickBot="1" x14ac:dyDescent="0.25">
      <c r="A608" s="8"/>
      <c r="B608" s="8"/>
      <c r="C608" s="8"/>
      <c r="D608" s="26"/>
      <c r="E608" s="6" t="s">
        <v>1295</v>
      </c>
      <c r="F608" s="4">
        <v>2</v>
      </c>
      <c r="G608" s="22">
        <v>1</v>
      </c>
      <c r="H608" s="22"/>
      <c r="I608" s="22"/>
      <c r="J608" s="30">
        <f t="shared" si="13"/>
        <v>2</v>
      </c>
      <c r="K608" s="8"/>
      <c r="L608" s="8"/>
      <c r="M608" s="8"/>
      <c r="N608" s="8"/>
    </row>
    <row r="609" spans="1:14" ht="21.6" customHeight="1" thickBot="1" x14ac:dyDescent="0.25">
      <c r="A609" s="8"/>
      <c r="B609" s="8"/>
      <c r="C609" s="8"/>
      <c r="D609" s="26"/>
      <c r="E609" s="6" t="s">
        <v>1296</v>
      </c>
      <c r="F609" s="4">
        <v>2</v>
      </c>
      <c r="G609" s="22">
        <v>1</v>
      </c>
      <c r="H609" s="22"/>
      <c r="I609" s="22"/>
      <c r="J609" s="30">
        <f t="shared" si="13"/>
        <v>2</v>
      </c>
      <c r="K609" s="8"/>
      <c r="L609" s="8"/>
      <c r="M609" s="8"/>
      <c r="N609" s="8"/>
    </row>
    <row r="610" spans="1:14" ht="15.4" customHeight="1" thickBot="1" x14ac:dyDescent="0.25">
      <c r="A610" s="8"/>
      <c r="B610" s="8"/>
      <c r="C610" s="8"/>
      <c r="D610" s="26"/>
      <c r="E610" s="6" t="s">
        <v>1297</v>
      </c>
      <c r="F610" s="4">
        <v>1</v>
      </c>
      <c r="G610" s="22">
        <v>0.94</v>
      </c>
      <c r="H610" s="22"/>
      <c r="I610" s="22"/>
      <c r="J610" s="30">
        <f t="shared" si="13"/>
        <v>0.94</v>
      </c>
      <c r="K610" s="8"/>
      <c r="L610" s="8"/>
      <c r="M610" s="8"/>
      <c r="N610" s="8"/>
    </row>
    <row r="611" spans="1:14" ht="15.4" customHeight="1" thickBot="1" x14ac:dyDescent="0.25">
      <c r="A611" s="8"/>
      <c r="B611" s="8"/>
      <c r="C611" s="8"/>
      <c r="D611" s="26"/>
      <c r="E611" s="6" t="s">
        <v>1298</v>
      </c>
      <c r="F611" s="4">
        <v>1</v>
      </c>
      <c r="G611" s="22">
        <v>0.94</v>
      </c>
      <c r="H611" s="22"/>
      <c r="I611" s="22"/>
      <c r="J611" s="30">
        <f t="shared" si="13"/>
        <v>0.94</v>
      </c>
      <c r="K611" s="8"/>
      <c r="L611" s="8"/>
      <c r="M611" s="8"/>
      <c r="N611" s="8"/>
    </row>
    <row r="612" spans="1:14" ht="15.4" customHeight="1" thickBot="1" x14ac:dyDescent="0.25">
      <c r="A612" s="8"/>
      <c r="B612" s="8"/>
      <c r="C612" s="8"/>
      <c r="D612" s="26"/>
      <c r="E612" s="6" t="s">
        <v>1299</v>
      </c>
      <c r="F612" s="4">
        <v>1</v>
      </c>
      <c r="G612" s="22">
        <v>0.94</v>
      </c>
      <c r="H612" s="22"/>
      <c r="I612" s="22"/>
      <c r="J612" s="30">
        <f t="shared" si="13"/>
        <v>0.94</v>
      </c>
      <c r="K612" s="8"/>
      <c r="L612" s="8"/>
      <c r="M612" s="8"/>
      <c r="N612" s="8"/>
    </row>
    <row r="613" spans="1:14" ht="15.4" customHeight="1" thickBot="1" x14ac:dyDescent="0.25">
      <c r="A613" s="8"/>
      <c r="B613" s="8"/>
      <c r="C613" s="8"/>
      <c r="D613" s="26"/>
      <c r="E613" s="6" t="s">
        <v>1300</v>
      </c>
      <c r="F613" s="4">
        <v>1</v>
      </c>
      <c r="G613" s="22">
        <v>0.8</v>
      </c>
      <c r="H613" s="22"/>
      <c r="I613" s="22"/>
      <c r="J613" s="30">
        <f t="shared" si="13"/>
        <v>0.8</v>
      </c>
      <c r="K613" s="8"/>
      <c r="L613" s="8"/>
      <c r="M613" s="8"/>
      <c r="N613" s="8"/>
    </row>
    <row r="614" spans="1:14" ht="15.4" customHeight="1" thickBot="1" x14ac:dyDescent="0.25">
      <c r="A614" s="8"/>
      <c r="B614" s="8"/>
      <c r="C614" s="8"/>
      <c r="D614" s="26"/>
      <c r="E614" s="6" t="s">
        <v>1301</v>
      </c>
      <c r="F614" s="4">
        <v>1</v>
      </c>
      <c r="G614" s="22">
        <v>0.8</v>
      </c>
      <c r="H614" s="22"/>
      <c r="I614" s="22"/>
      <c r="J614" s="30">
        <f t="shared" si="13"/>
        <v>0.8</v>
      </c>
      <c r="K614" s="8"/>
      <c r="L614" s="8"/>
      <c r="M614" s="8"/>
      <c r="N614" s="8"/>
    </row>
    <row r="615" spans="1:14" ht="21.6" customHeight="1" thickBot="1" x14ac:dyDescent="0.25">
      <c r="A615" s="8"/>
      <c r="B615" s="8"/>
      <c r="C615" s="8"/>
      <c r="D615" s="26"/>
      <c r="E615" s="6" t="s">
        <v>1302</v>
      </c>
      <c r="F615" s="4"/>
      <c r="G615" s="22"/>
      <c r="H615" s="22"/>
      <c r="I615" s="22"/>
      <c r="J615" s="24" t="s">
        <v>1303</v>
      </c>
      <c r="K615" s="8"/>
      <c r="L615" s="8"/>
      <c r="M615" s="8"/>
      <c r="N615" s="8"/>
    </row>
    <row r="616" spans="1:14" ht="21.6" customHeight="1" thickBot="1" x14ac:dyDescent="0.25">
      <c r="A616" s="8"/>
      <c r="B616" s="8"/>
      <c r="C616" s="8"/>
      <c r="D616" s="26"/>
      <c r="E616" s="6" t="s">
        <v>1304</v>
      </c>
      <c r="F616" s="4">
        <v>2</v>
      </c>
      <c r="G616" s="22">
        <v>1.8</v>
      </c>
      <c r="H616" s="22"/>
      <c r="I616" s="22"/>
      <c r="J616" s="30">
        <f>ROUND(F616*G616,2)</f>
        <v>3.6</v>
      </c>
      <c r="K616" s="8"/>
      <c r="L616" s="8"/>
      <c r="M616" s="8"/>
      <c r="N616" s="8"/>
    </row>
    <row r="617" spans="1:14" ht="21.6" customHeight="1" thickBot="1" x14ac:dyDescent="0.25">
      <c r="A617" s="8"/>
      <c r="B617" s="8"/>
      <c r="C617" s="8"/>
      <c r="D617" s="26"/>
      <c r="E617" s="6" t="s">
        <v>1305</v>
      </c>
      <c r="F617" s="4">
        <v>1</v>
      </c>
      <c r="G617" s="22">
        <v>1.55</v>
      </c>
      <c r="H617" s="22"/>
      <c r="I617" s="22"/>
      <c r="J617" s="30">
        <f>ROUND(F617*G617,2)</f>
        <v>1.55</v>
      </c>
      <c r="K617" s="32">
        <f>SUM(J605:J617)</f>
        <v>15.47</v>
      </c>
      <c r="L617" s="8"/>
      <c r="M617" s="8"/>
      <c r="N617" s="8"/>
    </row>
    <row r="618" spans="1:14" ht="15.4" customHeight="1" thickBot="1" x14ac:dyDescent="0.25">
      <c r="A618" s="12" t="s">
        <v>1306</v>
      </c>
      <c r="B618" s="6" t="s">
        <v>1307</v>
      </c>
      <c r="C618" s="6" t="s">
        <v>1308</v>
      </c>
      <c r="D618" s="60" t="s">
        <v>1309</v>
      </c>
      <c r="E618" s="60"/>
      <c r="F618" s="60"/>
      <c r="G618" s="60"/>
      <c r="H618" s="60"/>
      <c r="I618" s="60"/>
      <c r="J618" s="60"/>
      <c r="K618" s="22">
        <f>SUM(K621:K623)</f>
        <v>32</v>
      </c>
      <c r="L618" s="22">
        <f>ROUND(35.7*(1+M2/100),2)</f>
        <v>35.700000000000003</v>
      </c>
      <c r="M618" s="22">
        <f>ROUND(K618*L618,2)</f>
        <v>1142.4000000000001</v>
      </c>
      <c r="N618" s="8"/>
    </row>
    <row r="619" spans="1:14" ht="21.6" customHeight="1" thickBot="1" x14ac:dyDescent="0.25">
      <c r="A619" s="8"/>
      <c r="B619" s="8"/>
      <c r="C619" s="8"/>
      <c r="D619" s="60" t="s">
        <v>1310</v>
      </c>
      <c r="E619" s="60"/>
      <c r="F619" s="60"/>
      <c r="G619" s="60"/>
      <c r="H619" s="60"/>
      <c r="I619" s="60"/>
      <c r="J619" s="60"/>
      <c r="K619" s="60"/>
      <c r="L619" s="60"/>
      <c r="M619" s="60"/>
      <c r="N619" s="8"/>
    </row>
    <row r="620" spans="1:14" ht="15.4" customHeight="1" thickBot="1" x14ac:dyDescent="0.25">
      <c r="A620" s="8"/>
      <c r="B620" s="8"/>
      <c r="C620" s="8"/>
      <c r="D620" s="8"/>
      <c r="E620" s="23"/>
      <c r="F620" s="25" t="s">
        <v>1311</v>
      </c>
      <c r="G620" s="25" t="s">
        <v>1312</v>
      </c>
      <c r="H620" s="25" t="s">
        <v>1313</v>
      </c>
      <c r="I620" s="25" t="s">
        <v>1314</v>
      </c>
      <c r="J620" s="25" t="s">
        <v>1315</v>
      </c>
      <c r="K620" s="25" t="s">
        <v>1316</v>
      </c>
      <c r="L620" s="8"/>
      <c r="M620" s="8"/>
      <c r="N620" s="8"/>
    </row>
    <row r="621" spans="1:14" ht="15.4" customHeight="1" thickBot="1" x14ac:dyDescent="0.25">
      <c r="A621" s="8"/>
      <c r="B621" s="8"/>
      <c r="C621" s="8"/>
      <c r="D621" s="26"/>
      <c r="E621" s="27" t="s">
        <v>1317</v>
      </c>
      <c r="F621" s="28">
        <v>1</v>
      </c>
      <c r="G621" s="29">
        <v>9</v>
      </c>
      <c r="H621" s="29"/>
      <c r="I621" s="29"/>
      <c r="J621" s="31">
        <f>ROUND(F621*G621,2)</f>
        <v>9</v>
      </c>
      <c r="K621" s="35"/>
      <c r="L621" s="8"/>
      <c r="M621" s="8"/>
      <c r="N621" s="8"/>
    </row>
    <row r="622" spans="1:14" ht="21.6" customHeight="1" thickBot="1" x14ac:dyDescent="0.25">
      <c r="A622" s="8"/>
      <c r="B622" s="8"/>
      <c r="C622" s="8"/>
      <c r="D622" s="26"/>
      <c r="E622" s="6" t="s">
        <v>1318</v>
      </c>
      <c r="F622" s="4">
        <v>1</v>
      </c>
      <c r="G622" s="22">
        <v>8</v>
      </c>
      <c r="H622" s="22"/>
      <c r="I622" s="22"/>
      <c r="J622" s="30">
        <f>ROUND(F622*G622,2)</f>
        <v>8</v>
      </c>
      <c r="K622" s="8"/>
      <c r="L622" s="8"/>
      <c r="M622" s="8"/>
      <c r="N622" s="8"/>
    </row>
    <row r="623" spans="1:14" ht="21.6" customHeight="1" thickBot="1" x14ac:dyDescent="0.25">
      <c r="A623" s="8"/>
      <c r="B623" s="8"/>
      <c r="C623" s="8"/>
      <c r="D623" s="26"/>
      <c r="E623" s="6" t="s">
        <v>1319</v>
      </c>
      <c r="F623" s="4">
        <v>1</v>
      </c>
      <c r="G623" s="22">
        <v>15</v>
      </c>
      <c r="H623" s="22"/>
      <c r="I623" s="22"/>
      <c r="J623" s="30">
        <f>ROUND(F623*G623,2)</f>
        <v>15</v>
      </c>
      <c r="K623" s="32">
        <f>SUM(J621:J623)</f>
        <v>32</v>
      </c>
      <c r="L623" s="8"/>
      <c r="M623" s="8"/>
      <c r="N623" s="8"/>
    </row>
    <row r="624" spans="1:14" ht="15.4" customHeight="1" thickBot="1" x14ac:dyDescent="0.25">
      <c r="A624" s="12" t="s">
        <v>1320</v>
      </c>
      <c r="B624" s="6" t="s">
        <v>1321</v>
      </c>
      <c r="C624" s="6" t="s">
        <v>1322</v>
      </c>
      <c r="D624" s="60" t="s">
        <v>1323</v>
      </c>
      <c r="E624" s="60"/>
      <c r="F624" s="60"/>
      <c r="G624" s="60"/>
      <c r="H624" s="60"/>
      <c r="I624" s="60"/>
      <c r="J624" s="60"/>
      <c r="K624" s="22">
        <f>SUM(K627:K627)</f>
        <v>50</v>
      </c>
      <c r="L624" s="22">
        <f>ROUND(5.88*(1+M2/100),2)</f>
        <v>5.88</v>
      </c>
      <c r="M624" s="22">
        <f>ROUND(K624*L624,2)</f>
        <v>294</v>
      </c>
      <c r="N624" s="8"/>
    </row>
    <row r="625" spans="1:14" ht="12.2" customHeight="1" thickBot="1" x14ac:dyDescent="0.25">
      <c r="A625" s="8"/>
      <c r="B625" s="8"/>
      <c r="C625" s="8"/>
      <c r="D625" s="60" t="s">
        <v>1324</v>
      </c>
      <c r="E625" s="60"/>
      <c r="F625" s="60"/>
      <c r="G625" s="60"/>
      <c r="H625" s="60"/>
      <c r="I625" s="60"/>
      <c r="J625" s="60"/>
      <c r="K625" s="60"/>
      <c r="L625" s="60"/>
      <c r="M625" s="60"/>
      <c r="N625" s="8"/>
    </row>
    <row r="626" spans="1:14" ht="15.4" customHeight="1" thickBot="1" x14ac:dyDescent="0.25">
      <c r="A626" s="8"/>
      <c r="B626" s="8"/>
      <c r="C626" s="8"/>
      <c r="D626" s="8"/>
      <c r="E626" s="23"/>
      <c r="F626" s="25" t="s">
        <v>1325</v>
      </c>
      <c r="G626" s="25" t="s">
        <v>1326</v>
      </c>
      <c r="H626" s="25" t="s">
        <v>1327</v>
      </c>
      <c r="I626" s="25" t="s">
        <v>1328</v>
      </c>
      <c r="J626" s="25" t="s">
        <v>1329</v>
      </c>
      <c r="K626" s="25" t="s">
        <v>1330</v>
      </c>
      <c r="L626" s="8"/>
      <c r="M626" s="8"/>
      <c r="N626" s="8"/>
    </row>
    <row r="627" spans="1:14" ht="21.6" customHeight="1" thickBot="1" x14ac:dyDescent="0.25">
      <c r="A627" s="8"/>
      <c r="B627" s="8"/>
      <c r="C627" s="8"/>
      <c r="D627" s="26"/>
      <c r="E627" s="27" t="s">
        <v>1331</v>
      </c>
      <c r="F627" s="28">
        <v>1</v>
      </c>
      <c r="G627" s="29">
        <v>50</v>
      </c>
      <c r="H627" s="29"/>
      <c r="I627" s="29"/>
      <c r="J627" s="31">
        <f>ROUND(F627*G627,2)</f>
        <v>50</v>
      </c>
      <c r="K627" s="33">
        <f>SUM(J627:J627)</f>
        <v>50</v>
      </c>
      <c r="L627" s="8"/>
      <c r="M627" s="8"/>
      <c r="N627" s="8"/>
    </row>
    <row r="628" spans="1:14" ht="15.4" customHeight="1" thickBot="1" x14ac:dyDescent="0.25">
      <c r="A628" s="12" t="s">
        <v>1332</v>
      </c>
      <c r="B628" s="6" t="s">
        <v>1333</v>
      </c>
      <c r="C628" s="6" t="s">
        <v>1334</v>
      </c>
      <c r="D628" s="60" t="s">
        <v>1335</v>
      </c>
      <c r="E628" s="60"/>
      <c r="F628" s="60"/>
      <c r="G628" s="60"/>
      <c r="H628" s="60"/>
      <c r="I628" s="60"/>
      <c r="J628" s="60"/>
      <c r="K628" s="22">
        <f>SUM(K631:K634)</f>
        <v>26.4</v>
      </c>
      <c r="L628" s="22">
        <f>ROUND(6.83*(1+M2/100),2)</f>
        <v>6.83</v>
      </c>
      <c r="M628" s="22">
        <f>ROUND(K628*L628,2)</f>
        <v>180.31</v>
      </c>
      <c r="N628" s="8"/>
    </row>
    <row r="629" spans="1:14" ht="12.2" customHeight="1" thickBot="1" x14ac:dyDescent="0.25">
      <c r="A629" s="8"/>
      <c r="B629" s="8"/>
      <c r="C629" s="8"/>
      <c r="D629" s="60" t="s">
        <v>1336</v>
      </c>
      <c r="E629" s="60"/>
      <c r="F629" s="60"/>
      <c r="G629" s="60"/>
      <c r="H629" s="60"/>
      <c r="I629" s="60"/>
      <c r="J629" s="60"/>
      <c r="K629" s="60"/>
      <c r="L629" s="60"/>
      <c r="M629" s="60"/>
      <c r="N629" s="8"/>
    </row>
    <row r="630" spans="1:14" ht="15.4" customHeight="1" thickBot="1" x14ac:dyDescent="0.25">
      <c r="A630" s="8"/>
      <c r="B630" s="8"/>
      <c r="C630" s="8"/>
      <c r="D630" s="8"/>
      <c r="E630" s="23"/>
      <c r="F630" s="25" t="s">
        <v>1337</v>
      </c>
      <c r="G630" s="25" t="s">
        <v>1338</v>
      </c>
      <c r="H630" s="25" t="s">
        <v>1339</v>
      </c>
      <c r="I630" s="25" t="s">
        <v>1340</v>
      </c>
      <c r="J630" s="25" t="s">
        <v>1341</v>
      </c>
      <c r="K630" s="25" t="s">
        <v>1342</v>
      </c>
      <c r="L630" s="8"/>
      <c r="M630" s="8"/>
      <c r="N630" s="8"/>
    </row>
    <row r="631" spans="1:14" ht="21.6" customHeight="1" thickBot="1" x14ac:dyDescent="0.25">
      <c r="A631" s="8"/>
      <c r="B631" s="8"/>
      <c r="C631" s="8"/>
      <c r="D631" s="26"/>
      <c r="E631" s="27" t="s">
        <v>1343</v>
      </c>
      <c r="F631" s="28">
        <v>6</v>
      </c>
      <c r="G631" s="29">
        <v>1.5</v>
      </c>
      <c r="H631" s="29"/>
      <c r="I631" s="29"/>
      <c r="J631" s="31">
        <f>ROUND(F631*G631,2)</f>
        <v>9</v>
      </c>
      <c r="K631" s="35"/>
      <c r="L631" s="8"/>
      <c r="M631" s="8"/>
      <c r="N631" s="8"/>
    </row>
    <row r="632" spans="1:14" ht="21.6" customHeight="1" thickBot="1" x14ac:dyDescent="0.25">
      <c r="A632" s="8"/>
      <c r="B632" s="8"/>
      <c r="C632" s="8"/>
      <c r="D632" s="26"/>
      <c r="E632" s="6" t="s">
        <v>1344</v>
      </c>
      <c r="F632" s="4">
        <v>6</v>
      </c>
      <c r="G632" s="22">
        <v>1.5</v>
      </c>
      <c r="H632" s="22"/>
      <c r="I632" s="22"/>
      <c r="J632" s="30">
        <f>ROUND(F632*G632,2)</f>
        <v>9</v>
      </c>
      <c r="K632" s="8"/>
      <c r="L632" s="8"/>
      <c r="M632" s="8"/>
      <c r="N632" s="8"/>
    </row>
    <row r="633" spans="1:14" ht="21.6" customHeight="1" thickBot="1" x14ac:dyDescent="0.25">
      <c r="A633" s="8"/>
      <c r="B633" s="8"/>
      <c r="C633" s="8"/>
      <c r="D633" s="26"/>
      <c r="E633" s="6" t="s">
        <v>1345</v>
      </c>
      <c r="F633" s="4">
        <v>2</v>
      </c>
      <c r="G633" s="22">
        <v>1.2</v>
      </c>
      <c r="H633" s="22"/>
      <c r="I633" s="22"/>
      <c r="J633" s="30">
        <f>ROUND(F633*G633,2)</f>
        <v>2.4</v>
      </c>
      <c r="K633" s="8"/>
      <c r="L633" s="8"/>
      <c r="M633" s="8"/>
      <c r="N633" s="8"/>
    </row>
    <row r="634" spans="1:14" ht="21.6" customHeight="1" thickBot="1" x14ac:dyDescent="0.25">
      <c r="A634" s="8"/>
      <c r="B634" s="8"/>
      <c r="C634" s="8"/>
      <c r="D634" s="26"/>
      <c r="E634" s="6" t="s">
        <v>1346</v>
      </c>
      <c r="F634" s="4">
        <v>4</v>
      </c>
      <c r="G634" s="22">
        <v>1.5</v>
      </c>
      <c r="H634" s="22"/>
      <c r="I634" s="22"/>
      <c r="J634" s="30">
        <f>ROUND(F634*G634,2)</f>
        <v>6</v>
      </c>
      <c r="K634" s="32">
        <f>SUM(J631:J634)</f>
        <v>26.4</v>
      </c>
      <c r="L634" s="8"/>
      <c r="M634" s="8"/>
      <c r="N634" s="8"/>
    </row>
    <row r="635" spans="1:14" ht="24.75" customHeight="1" thickBot="1" x14ac:dyDescent="0.25">
      <c r="A635" s="12" t="s">
        <v>1347</v>
      </c>
      <c r="B635" s="6" t="s">
        <v>1348</v>
      </c>
      <c r="C635" s="6" t="s">
        <v>1349</v>
      </c>
      <c r="D635" s="60" t="s">
        <v>1350</v>
      </c>
      <c r="E635" s="60"/>
      <c r="F635" s="60"/>
      <c r="G635" s="60"/>
      <c r="H635" s="60"/>
      <c r="I635" s="60"/>
      <c r="J635" s="60"/>
      <c r="K635" s="22">
        <f>SUM(K638:K638)</f>
        <v>110</v>
      </c>
      <c r="L635" s="22">
        <f>ROUND(49.98*(1+M2/100),2)</f>
        <v>49.98</v>
      </c>
      <c r="M635" s="22">
        <f>ROUND(K635*L635,2)</f>
        <v>5497.8</v>
      </c>
      <c r="N635" s="8"/>
    </row>
    <row r="636" spans="1:14" ht="12.2" customHeight="1" thickBot="1" x14ac:dyDescent="0.25">
      <c r="A636" s="8"/>
      <c r="B636" s="8"/>
      <c r="C636" s="8"/>
      <c r="D636" s="60" t="s">
        <v>1351</v>
      </c>
      <c r="E636" s="60"/>
      <c r="F636" s="60"/>
      <c r="G636" s="60"/>
      <c r="H636" s="60"/>
      <c r="I636" s="60"/>
      <c r="J636" s="60"/>
      <c r="K636" s="60"/>
      <c r="L636" s="60"/>
      <c r="M636" s="60"/>
      <c r="N636" s="8"/>
    </row>
    <row r="637" spans="1:14" ht="15.4" customHeight="1" thickBot="1" x14ac:dyDescent="0.25">
      <c r="A637" s="8"/>
      <c r="B637" s="8"/>
      <c r="C637" s="8"/>
      <c r="D637" s="8"/>
      <c r="E637" s="23"/>
      <c r="F637" s="25" t="s">
        <v>1352</v>
      </c>
      <c r="G637" s="25" t="s">
        <v>1353</v>
      </c>
      <c r="H637" s="25" t="s">
        <v>1354</v>
      </c>
      <c r="I637" s="25" t="s">
        <v>1355</v>
      </c>
      <c r="J637" s="25" t="s">
        <v>1356</v>
      </c>
      <c r="K637" s="25" t="s">
        <v>1357</v>
      </c>
      <c r="L637" s="8"/>
      <c r="M637" s="8"/>
      <c r="N637" s="8"/>
    </row>
    <row r="638" spans="1:14" ht="15.4" customHeight="1" thickBot="1" x14ac:dyDescent="0.25">
      <c r="A638" s="8"/>
      <c r="B638" s="8"/>
      <c r="C638" s="8"/>
      <c r="D638" s="26"/>
      <c r="E638" s="27" t="s">
        <v>1358</v>
      </c>
      <c r="F638" s="28">
        <v>1</v>
      </c>
      <c r="G638" s="29">
        <v>110</v>
      </c>
      <c r="H638" s="29"/>
      <c r="I638" s="29"/>
      <c r="J638" s="31">
        <f>ROUND(F638*G638,2)</f>
        <v>110</v>
      </c>
      <c r="K638" s="33">
        <f>SUM(J638:J638)</f>
        <v>110</v>
      </c>
      <c r="L638" s="8"/>
      <c r="M638" s="8"/>
      <c r="N638" s="8"/>
    </row>
    <row r="639" spans="1:14" ht="15.4" customHeight="1" thickBot="1" x14ac:dyDescent="0.25">
      <c r="A639" s="12" t="s">
        <v>1359</v>
      </c>
      <c r="B639" s="6" t="s">
        <v>1360</v>
      </c>
      <c r="C639" s="6" t="s">
        <v>1361</v>
      </c>
      <c r="D639" s="60" t="s">
        <v>1362</v>
      </c>
      <c r="E639" s="60"/>
      <c r="F639" s="60"/>
      <c r="G639" s="60"/>
      <c r="H639" s="60"/>
      <c r="I639" s="60"/>
      <c r="J639" s="60"/>
      <c r="K639" s="22">
        <f>SUM(K642:K642)</f>
        <v>24</v>
      </c>
      <c r="L639" s="22">
        <f>ROUND(52.11*(1+M2/100),2)</f>
        <v>52.11</v>
      </c>
      <c r="M639" s="22">
        <f>ROUND(K639*L639,2)</f>
        <v>1250.6400000000001</v>
      </c>
      <c r="N639" s="8"/>
    </row>
    <row r="640" spans="1:14" ht="30.95" customHeight="1" thickBot="1" x14ac:dyDescent="0.25">
      <c r="A640" s="8"/>
      <c r="B640" s="8"/>
      <c r="C640" s="8"/>
      <c r="D640" s="60" t="s">
        <v>1363</v>
      </c>
      <c r="E640" s="60"/>
      <c r="F640" s="60"/>
      <c r="G640" s="60"/>
      <c r="H640" s="60"/>
      <c r="I640" s="60"/>
      <c r="J640" s="60"/>
      <c r="K640" s="60"/>
      <c r="L640" s="60"/>
      <c r="M640" s="60"/>
      <c r="N640" s="8"/>
    </row>
    <row r="641" spans="1:14" ht="15.4" customHeight="1" thickBot="1" x14ac:dyDescent="0.25">
      <c r="A641" s="8"/>
      <c r="B641" s="8"/>
      <c r="C641" s="8"/>
      <c r="D641" s="8"/>
      <c r="E641" s="23"/>
      <c r="F641" s="25" t="s">
        <v>1364</v>
      </c>
      <c r="G641" s="25" t="s">
        <v>1365</v>
      </c>
      <c r="H641" s="25" t="s">
        <v>1366</v>
      </c>
      <c r="I641" s="25" t="s">
        <v>1367</v>
      </c>
      <c r="J641" s="25" t="s">
        <v>1368</v>
      </c>
      <c r="K641" s="25" t="s">
        <v>1369</v>
      </c>
      <c r="L641" s="8"/>
      <c r="M641" s="8"/>
      <c r="N641" s="8"/>
    </row>
    <row r="642" spans="1:14" ht="15.4" customHeight="1" thickBot="1" x14ac:dyDescent="0.25">
      <c r="A642" s="8"/>
      <c r="B642" s="8"/>
      <c r="C642" s="8"/>
      <c r="D642" s="26"/>
      <c r="E642" s="27" t="s">
        <v>1370</v>
      </c>
      <c r="F642" s="28">
        <v>24</v>
      </c>
      <c r="G642" s="29"/>
      <c r="H642" s="29"/>
      <c r="I642" s="29"/>
      <c r="J642" s="31">
        <f>ROUND(F642,2)</f>
        <v>24</v>
      </c>
      <c r="K642" s="33">
        <f>SUM(J642:J642)</f>
        <v>24</v>
      </c>
      <c r="L642" s="8"/>
      <c r="M642" s="8"/>
      <c r="N642" s="8"/>
    </row>
    <row r="643" spans="1:14" ht="15.4" customHeight="1" thickBot="1" x14ac:dyDescent="0.25">
      <c r="A643" s="12" t="s">
        <v>1371</v>
      </c>
      <c r="B643" s="6" t="s">
        <v>1372</v>
      </c>
      <c r="C643" s="6" t="s">
        <v>1373</v>
      </c>
      <c r="D643" s="60" t="s">
        <v>1374</v>
      </c>
      <c r="E643" s="60"/>
      <c r="F643" s="60"/>
      <c r="G643" s="60"/>
      <c r="H643" s="60"/>
      <c r="I643" s="60"/>
      <c r="J643" s="60"/>
      <c r="K643" s="22">
        <f>SUM(K646:K646)</f>
        <v>40</v>
      </c>
      <c r="L643" s="22">
        <f>ROUND(33.32*(1+M2/100),2)</f>
        <v>33.32</v>
      </c>
      <c r="M643" s="22">
        <f>ROUND(K643*L643,2)</f>
        <v>1332.8</v>
      </c>
      <c r="N643" s="8"/>
    </row>
    <row r="644" spans="1:14" ht="12.2" customHeight="1" thickBot="1" x14ac:dyDescent="0.25">
      <c r="A644" s="8"/>
      <c r="B644" s="8"/>
      <c r="C644" s="8"/>
      <c r="D644" s="60" t="s">
        <v>1375</v>
      </c>
      <c r="E644" s="60"/>
      <c r="F644" s="60"/>
      <c r="G644" s="60"/>
      <c r="H644" s="60"/>
      <c r="I644" s="60"/>
      <c r="J644" s="60"/>
      <c r="K644" s="60"/>
      <c r="L644" s="60"/>
      <c r="M644" s="60"/>
      <c r="N644" s="8"/>
    </row>
    <row r="645" spans="1:14" ht="15.4" customHeight="1" thickBot="1" x14ac:dyDescent="0.25">
      <c r="A645" s="8"/>
      <c r="B645" s="8"/>
      <c r="C645" s="8"/>
      <c r="D645" s="8"/>
      <c r="E645" s="23"/>
      <c r="F645" s="25" t="s">
        <v>1376</v>
      </c>
      <c r="G645" s="25" t="s">
        <v>1377</v>
      </c>
      <c r="H645" s="25" t="s">
        <v>1378</v>
      </c>
      <c r="I645" s="25" t="s">
        <v>1379</v>
      </c>
      <c r="J645" s="25" t="s">
        <v>1380</v>
      </c>
      <c r="K645" s="25" t="s">
        <v>1381</v>
      </c>
      <c r="L645" s="8"/>
      <c r="M645" s="8"/>
      <c r="N645" s="8"/>
    </row>
    <row r="646" spans="1:14" ht="21.6" customHeight="1" thickBot="1" x14ac:dyDescent="0.25">
      <c r="A646" s="8"/>
      <c r="B646" s="8"/>
      <c r="C646" s="8"/>
      <c r="D646" s="26"/>
      <c r="E646" s="27" t="s">
        <v>1382</v>
      </c>
      <c r="F646" s="28">
        <v>1</v>
      </c>
      <c r="G646" s="29">
        <v>40</v>
      </c>
      <c r="H646" s="29"/>
      <c r="I646" s="29"/>
      <c r="J646" s="31">
        <f>ROUND(F646*G646,2)</f>
        <v>40</v>
      </c>
      <c r="K646" s="33">
        <f>SUM(J646:J646)</f>
        <v>40</v>
      </c>
      <c r="L646" s="8"/>
      <c r="M646" s="8"/>
      <c r="N646" s="8"/>
    </row>
    <row r="647" spans="1:14" ht="15.4" customHeight="1" thickBot="1" x14ac:dyDescent="0.25">
      <c r="A647" s="36"/>
      <c r="B647" s="36"/>
      <c r="C647" s="36"/>
      <c r="D647" s="50" t="s">
        <v>1383</v>
      </c>
      <c r="E647" s="51"/>
      <c r="F647" s="51"/>
      <c r="G647" s="51"/>
      <c r="H647" s="51"/>
      <c r="I647" s="51"/>
      <c r="J647" s="51"/>
      <c r="K647" s="51"/>
      <c r="L647" s="52">
        <f>M553+M560+M565+M577+M585+M592+M602+M618+M624+M628+M635+M639+M643</f>
        <v>60557.930000000008</v>
      </c>
      <c r="M647" s="52">
        <f>ROUND(L647,2)</f>
        <v>60557.93</v>
      </c>
      <c r="N647" s="8"/>
    </row>
    <row r="648" spans="1:14" ht="15.4" customHeight="1" thickBot="1" x14ac:dyDescent="0.25">
      <c r="A648" s="47" t="s">
        <v>1384</v>
      </c>
      <c r="B648" s="47" t="s">
        <v>1385</v>
      </c>
      <c r="C648" s="48"/>
      <c r="D648" s="62" t="s">
        <v>1386</v>
      </c>
      <c r="E648" s="62"/>
      <c r="F648" s="62"/>
      <c r="G648" s="62"/>
      <c r="H648" s="62"/>
      <c r="I648" s="62"/>
      <c r="J648" s="62"/>
      <c r="K648" s="48"/>
      <c r="L648" s="49">
        <f>L777</f>
        <v>51576.099999999977</v>
      </c>
      <c r="M648" s="49">
        <f>ROUND(L648,2)</f>
        <v>51576.1</v>
      </c>
      <c r="N648" s="8"/>
    </row>
    <row r="649" spans="1:14" ht="15.4" customHeight="1" thickBot="1" x14ac:dyDescent="0.25">
      <c r="A649" s="12" t="s">
        <v>1387</v>
      </c>
      <c r="B649" s="6" t="s">
        <v>1388</v>
      </c>
      <c r="C649" s="6" t="s">
        <v>1389</v>
      </c>
      <c r="D649" s="60" t="s">
        <v>1390</v>
      </c>
      <c r="E649" s="60"/>
      <c r="F649" s="60"/>
      <c r="G649" s="60"/>
      <c r="H649" s="60"/>
      <c r="I649" s="60"/>
      <c r="J649" s="60"/>
      <c r="K649" s="22">
        <f>SUM(K652:K657)</f>
        <v>24.26</v>
      </c>
      <c r="L649" s="22">
        <f>ROUND(345.08*(1+M2/100),2)</f>
        <v>345.08</v>
      </c>
      <c r="M649" s="22">
        <f>ROUND(K649*L649,2)</f>
        <v>8371.64</v>
      </c>
      <c r="N649" s="8"/>
    </row>
    <row r="650" spans="1:14" ht="87.2" customHeight="1" thickBot="1" x14ac:dyDescent="0.25">
      <c r="A650" s="8"/>
      <c r="B650" s="8"/>
      <c r="C650" s="8"/>
      <c r="D650" s="60" t="s">
        <v>1391</v>
      </c>
      <c r="E650" s="60"/>
      <c r="F650" s="60"/>
      <c r="G650" s="60"/>
      <c r="H650" s="60"/>
      <c r="I650" s="60"/>
      <c r="J650" s="60"/>
      <c r="K650" s="60"/>
      <c r="L650" s="60"/>
      <c r="M650" s="60"/>
      <c r="N650" s="8"/>
    </row>
    <row r="651" spans="1:14" ht="15.4" customHeight="1" thickBot="1" x14ac:dyDescent="0.25">
      <c r="A651" s="8"/>
      <c r="B651" s="8"/>
      <c r="C651" s="8"/>
      <c r="D651" s="8"/>
      <c r="E651" s="23"/>
      <c r="F651" s="25" t="s">
        <v>1392</v>
      </c>
      <c r="G651" s="25" t="s">
        <v>1393</v>
      </c>
      <c r="H651" s="25" t="s">
        <v>1394</v>
      </c>
      <c r="I651" s="25" t="s">
        <v>1395</v>
      </c>
      <c r="J651" s="25" t="s">
        <v>1396</v>
      </c>
      <c r="K651" s="25" t="s">
        <v>1397</v>
      </c>
      <c r="L651" s="8"/>
      <c r="M651" s="8"/>
      <c r="N651" s="8"/>
    </row>
    <row r="652" spans="1:14" ht="21.6" customHeight="1" thickBot="1" x14ac:dyDescent="0.25">
      <c r="A652" s="8"/>
      <c r="B652" s="8"/>
      <c r="C652" s="8"/>
      <c r="D652" s="26"/>
      <c r="E652" s="27" t="s">
        <v>1398</v>
      </c>
      <c r="F652" s="28">
        <v>2</v>
      </c>
      <c r="G652" s="29">
        <v>1.65</v>
      </c>
      <c r="H652" s="29"/>
      <c r="I652" s="29">
        <v>2.5</v>
      </c>
      <c r="J652" s="31">
        <f>ROUND(F652*G652*I652,2)</f>
        <v>8.25</v>
      </c>
      <c r="K652" s="35"/>
      <c r="L652" s="8"/>
      <c r="M652" s="8"/>
      <c r="N652" s="8"/>
    </row>
    <row r="653" spans="1:14" ht="21.6" customHeight="1" thickBot="1" x14ac:dyDescent="0.25">
      <c r="A653" s="8"/>
      <c r="B653" s="8"/>
      <c r="C653" s="8"/>
      <c r="D653" s="26"/>
      <c r="E653" s="6" t="s">
        <v>1399</v>
      </c>
      <c r="F653" s="4"/>
      <c r="G653" s="22"/>
      <c r="H653" s="22"/>
      <c r="I653" s="22"/>
      <c r="J653" s="24" t="s">
        <v>1400</v>
      </c>
      <c r="K653" s="8"/>
      <c r="L653" s="8"/>
      <c r="M653" s="8"/>
      <c r="N653" s="8"/>
    </row>
    <row r="654" spans="1:14" ht="15.4" customHeight="1" thickBot="1" x14ac:dyDescent="0.25">
      <c r="A654" s="8"/>
      <c r="B654" s="8"/>
      <c r="C654" s="8"/>
      <c r="D654" s="26"/>
      <c r="E654" s="6" t="s">
        <v>1401</v>
      </c>
      <c r="F654" s="4">
        <v>1</v>
      </c>
      <c r="G654" s="22">
        <v>2.34</v>
      </c>
      <c r="H654" s="22"/>
      <c r="I654" s="22">
        <v>1.45</v>
      </c>
      <c r="J654" s="30">
        <f>ROUND(F654*G654*I654,2)</f>
        <v>3.39</v>
      </c>
      <c r="K654" s="8"/>
      <c r="L654" s="8"/>
      <c r="M654" s="8"/>
      <c r="N654" s="8"/>
    </row>
    <row r="655" spans="1:14" ht="15.4" customHeight="1" thickBot="1" x14ac:dyDescent="0.25">
      <c r="A655" s="8"/>
      <c r="B655" s="8"/>
      <c r="C655" s="8"/>
      <c r="D655" s="26"/>
      <c r="E655" s="6" t="s">
        <v>1402</v>
      </c>
      <c r="F655" s="4">
        <v>1</v>
      </c>
      <c r="G655" s="22">
        <v>2.74</v>
      </c>
      <c r="H655" s="22"/>
      <c r="I655" s="22">
        <v>1.45</v>
      </c>
      <c r="J655" s="30">
        <f>ROUND(F655*G655*I655,2)</f>
        <v>3.97</v>
      </c>
      <c r="K655" s="8"/>
      <c r="L655" s="8"/>
      <c r="M655" s="8"/>
      <c r="N655" s="8"/>
    </row>
    <row r="656" spans="1:14" ht="15.4" customHeight="1" thickBot="1" x14ac:dyDescent="0.25">
      <c r="A656" s="8"/>
      <c r="B656" s="8"/>
      <c r="C656" s="8"/>
      <c r="D656" s="26"/>
      <c r="E656" s="6" t="s">
        <v>1403</v>
      </c>
      <c r="F656" s="4">
        <v>1</v>
      </c>
      <c r="G656" s="22">
        <v>2.94</v>
      </c>
      <c r="H656" s="22"/>
      <c r="I656" s="22">
        <v>1.45</v>
      </c>
      <c r="J656" s="30">
        <f>ROUND(F656*G656*I656,2)</f>
        <v>4.26</v>
      </c>
      <c r="K656" s="8"/>
      <c r="L656" s="8"/>
      <c r="M656" s="8"/>
      <c r="N656" s="8"/>
    </row>
    <row r="657" spans="1:14" ht="15.4" customHeight="1" thickBot="1" x14ac:dyDescent="0.25">
      <c r="A657" s="8"/>
      <c r="B657" s="8"/>
      <c r="C657" s="8"/>
      <c r="D657" s="26"/>
      <c r="E657" s="6" t="s">
        <v>1404</v>
      </c>
      <c r="F657" s="4">
        <v>1</v>
      </c>
      <c r="G657" s="22">
        <v>3.03</v>
      </c>
      <c r="H657" s="22"/>
      <c r="I657" s="22">
        <v>1.45</v>
      </c>
      <c r="J657" s="30">
        <f>ROUND(F657*G657*I657,2)</f>
        <v>4.3899999999999997</v>
      </c>
      <c r="K657" s="32">
        <f>SUM(J652:J657)</f>
        <v>24.26</v>
      </c>
      <c r="L657" s="8"/>
      <c r="M657" s="8"/>
      <c r="N657" s="8"/>
    </row>
    <row r="658" spans="1:14" ht="15.4" customHeight="1" thickBot="1" x14ac:dyDescent="0.25">
      <c r="A658" s="12" t="s">
        <v>1405</v>
      </c>
      <c r="B658" s="6" t="s">
        <v>1406</v>
      </c>
      <c r="C658" s="6" t="s">
        <v>1407</v>
      </c>
      <c r="D658" s="60" t="s">
        <v>1408</v>
      </c>
      <c r="E658" s="60"/>
      <c r="F658" s="60"/>
      <c r="G658" s="60"/>
      <c r="H658" s="60"/>
      <c r="I658" s="60"/>
      <c r="J658" s="60"/>
      <c r="K658" s="22">
        <f>SUM(K661:K666)</f>
        <v>16.36</v>
      </c>
      <c r="L658" s="22">
        <f>ROUND(243.94*(1+M2/100),2)</f>
        <v>243.94</v>
      </c>
      <c r="M658" s="22">
        <f>ROUND(K658*L658,2)</f>
        <v>3990.86</v>
      </c>
      <c r="N658" s="8"/>
    </row>
    <row r="659" spans="1:14" ht="68.45" customHeight="1" thickBot="1" x14ac:dyDescent="0.25">
      <c r="A659" s="8"/>
      <c r="B659" s="8"/>
      <c r="C659" s="8"/>
      <c r="D659" s="60" t="s">
        <v>1409</v>
      </c>
      <c r="E659" s="60"/>
      <c r="F659" s="60"/>
      <c r="G659" s="60"/>
      <c r="H659" s="60"/>
      <c r="I659" s="60"/>
      <c r="J659" s="60"/>
      <c r="K659" s="60"/>
      <c r="L659" s="60"/>
      <c r="M659" s="60"/>
      <c r="N659" s="8"/>
    </row>
    <row r="660" spans="1:14" ht="15.4" customHeight="1" thickBot="1" x14ac:dyDescent="0.25">
      <c r="A660" s="8"/>
      <c r="B660" s="8"/>
      <c r="C660" s="8"/>
      <c r="D660" s="8"/>
      <c r="E660" s="23"/>
      <c r="F660" s="25" t="s">
        <v>1410</v>
      </c>
      <c r="G660" s="25" t="s">
        <v>1411</v>
      </c>
      <c r="H660" s="25" t="s">
        <v>1412</v>
      </c>
      <c r="I660" s="25" t="s">
        <v>1413</v>
      </c>
      <c r="J660" s="25" t="s">
        <v>1414</v>
      </c>
      <c r="K660" s="25" t="s">
        <v>1415</v>
      </c>
      <c r="L660" s="8"/>
      <c r="M660" s="8"/>
      <c r="N660" s="8"/>
    </row>
    <row r="661" spans="1:14" ht="21.6" customHeight="1" thickBot="1" x14ac:dyDescent="0.25">
      <c r="A661" s="8"/>
      <c r="B661" s="8"/>
      <c r="C661" s="8"/>
      <c r="D661" s="26"/>
      <c r="E661" s="27" t="s">
        <v>1416</v>
      </c>
      <c r="F661" s="28">
        <v>1</v>
      </c>
      <c r="G661" s="29">
        <v>1.07</v>
      </c>
      <c r="H661" s="29"/>
      <c r="I661" s="29">
        <v>2.2799999999999998</v>
      </c>
      <c r="J661" s="31">
        <f>ROUND(F661*G661*I661,2)</f>
        <v>2.44</v>
      </c>
      <c r="K661" s="35"/>
      <c r="L661" s="8"/>
      <c r="M661" s="8"/>
      <c r="N661" s="8"/>
    </row>
    <row r="662" spans="1:14" ht="21.6" customHeight="1" thickBot="1" x14ac:dyDescent="0.25">
      <c r="A662" s="8"/>
      <c r="B662" s="8"/>
      <c r="C662" s="8"/>
      <c r="D662" s="26"/>
      <c r="E662" s="6" t="s">
        <v>1417</v>
      </c>
      <c r="F662" s="4">
        <v>1</v>
      </c>
      <c r="G662" s="22">
        <v>1.07</v>
      </c>
      <c r="H662" s="22"/>
      <c r="I662" s="22">
        <v>2.2799999999999998</v>
      </c>
      <c r="J662" s="30">
        <f>ROUND(F662*G662*I662,2)</f>
        <v>2.44</v>
      </c>
      <c r="K662" s="8"/>
      <c r="L662" s="8"/>
      <c r="M662" s="8"/>
      <c r="N662" s="8"/>
    </row>
    <row r="663" spans="1:14" ht="21.6" customHeight="1" thickBot="1" x14ac:dyDescent="0.25">
      <c r="A663" s="8"/>
      <c r="B663" s="8"/>
      <c r="C663" s="8"/>
      <c r="D663" s="26"/>
      <c r="E663" s="6" t="s">
        <v>1418</v>
      </c>
      <c r="F663" s="4">
        <v>1</v>
      </c>
      <c r="G663" s="22">
        <v>0.93</v>
      </c>
      <c r="H663" s="22"/>
      <c r="I663" s="22">
        <v>2.1</v>
      </c>
      <c r="J663" s="30">
        <f>ROUND(F663*G663*I663,2)</f>
        <v>1.95</v>
      </c>
      <c r="K663" s="8"/>
      <c r="L663" s="8"/>
      <c r="M663" s="8"/>
      <c r="N663" s="8"/>
    </row>
    <row r="664" spans="1:14" ht="21.6" customHeight="1" thickBot="1" x14ac:dyDescent="0.25">
      <c r="A664" s="8"/>
      <c r="B664" s="8"/>
      <c r="C664" s="8"/>
      <c r="D664" s="26"/>
      <c r="E664" s="6" t="s">
        <v>1419</v>
      </c>
      <c r="F664" s="4"/>
      <c r="G664" s="22"/>
      <c r="H664" s="22"/>
      <c r="I664" s="22"/>
      <c r="J664" s="24" t="s">
        <v>1420</v>
      </c>
      <c r="K664" s="8"/>
      <c r="L664" s="8"/>
      <c r="M664" s="8"/>
      <c r="N664" s="8"/>
    </row>
    <row r="665" spans="1:14" ht="15.4" customHeight="1" thickBot="1" x14ac:dyDescent="0.25">
      <c r="A665" s="8"/>
      <c r="B665" s="8"/>
      <c r="C665" s="8"/>
      <c r="D665" s="26"/>
      <c r="E665" s="6" t="s">
        <v>1421</v>
      </c>
      <c r="F665" s="4">
        <v>1</v>
      </c>
      <c r="G665" s="22">
        <v>3.27</v>
      </c>
      <c r="H665" s="22"/>
      <c r="I665" s="22">
        <v>2.2799999999999998</v>
      </c>
      <c r="J665" s="30">
        <f>ROUND(F665*G665*I665,2)</f>
        <v>7.46</v>
      </c>
      <c r="K665" s="8"/>
      <c r="L665" s="8"/>
      <c r="M665" s="8"/>
      <c r="N665" s="8"/>
    </row>
    <row r="666" spans="1:14" ht="15.4" customHeight="1" thickBot="1" x14ac:dyDescent="0.25">
      <c r="A666" s="8"/>
      <c r="B666" s="8"/>
      <c r="C666" s="8"/>
      <c r="D666" s="26"/>
      <c r="E666" s="6" t="s">
        <v>1422</v>
      </c>
      <c r="F666" s="4">
        <v>1</v>
      </c>
      <c r="G666" s="22">
        <v>1.5</v>
      </c>
      <c r="H666" s="22"/>
      <c r="I666" s="22">
        <v>1.38</v>
      </c>
      <c r="J666" s="30">
        <f>ROUND(F666*G666*I666,2)</f>
        <v>2.0699999999999998</v>
      </c>
      <c r="K666" s="32">
        <f>SUM(J661:J666)</f>
        <v>16.36</v>
      </c>
      <c r="L666" s="8"/>
      <c r="M666" s="8"/>
      <c r="N666" s="8"/>
    </row>
    <row r="667" spans="1:14" ht="15.4" customHeight="1" thickBot="1" x14ac:dyDescent="0.25">
      <c r="A667" s="12" t="s">
        <v>1423</v>
      </c>
      <c r="B667" s="6" t="s">
        <v>1424</v>
      </c>
      <c r="C667" s="6" t="s">
        <v>1425</v>
      </c>
      <c r="D667" s="60" t="s">
        <v>1426</v>
      </c>
      <c r="E667" s="60"/>
      <c r="F667" s="60"/>
      <c r="G667" s="60"/>
      <c r="H667" s="60"/>
      <c r="I667" s="60"/>
      <c r="J667" s="60"/>
      <c r="K667" s="22">
        <f>SUM(K670:K675)</f>
        <v>24.26</v>
      </c>
      <c r="L667" s="22">
        <f>ROUND(351.03*(1+M2/100),2)</f>
        <v>351.03</v>
      </c>
      <c r="M667" s="22">
        <f>ROUND(K667*L667,2)</f>
        <v>8515.99</v>
      </c>
      <c r="N667" s="8"/>
    </row>
    <row r="668" spans="1:14" ht="68.45" customHeight="1" thickBot="1" x14ac:dyDescent="0.25">
      <c r="A668" s="8"/>
      <c r="B668" s="8"/>
      <c r="C668" s="8"/>
      <c r="D668" s="60" t="s">
        <v>1427</v>
      </c>
      <c r="E668" s="60"/>
      <c r="F668" s="60"/>
      <c r="G668" s="60"/>
      <c r="H668" s="60"/>
      <c r="I668" s="60"/>
      <c r="J668" s="60"/>
      <c r="K668" s="60"/>
      <c r="L668" s="60"/>
      <c r="M668" s="60"/>
      <c r="N668" s="8"/>
    </row>
    <row r="669" spans="1:14" ht="15.4" customHeight="1" thickBot="1" x14ac:dyDescent="0.25">
      <c r="A669" s="8"/>
      <c r="B669" s="8"/>
      <c r="C669" s="8"/>
      <c r="D669" s="8"/>
      <c r="E669" s="23"/>
      <c r="F669" s="25" t="s">
        <v>1428</v>
      </c>
      <c r="G669" s="25" t="s">
        <v>1429</v>
      </c>
      <c r="H669" s="25" t="s">
        <v>1430</v>
      </c>
      <c r="I669" s="25" t="s">
        <v>1431</v>
      </c>
      <c r="J669" s="25" t="s">
        <v>1432</v>
      </c>
      <c r="K669" s="25" t="s">
        <v>1433</v>
      </c>
      <c r="L669" s="8"/>
      <c r="M669" s="8"/>
      <c r="N669" s="8"/>
    </row>
    <row r="670" spans="1:14" ht="21.6" customHeight="1" thickBot="1" x14ac:dyDescent="0.25">
      <c r="A670" s="8"/>
      <c r="B670" s="8"/>
      <c r="C670" s="8"/>
      <c r="D670" s="26"/>
      <c r="E670" s="27" t="s">
        <v>1434</v>
      </c>
      <c r="F670" s="28">
        <v>2</v>
      </c>
      <c r="G670" s="29">
        <v>1.65</v>
      </c>
      <c r="H670" s="29"/>
      <c r="I670" s="29">
        <v>2.5</v>
      </c>
      <c r="J670" s="31">
        <f>ROUND(F670*G670*I670,2)</f>
        <v>8.25</v>
      </c>
      <c r="K670" s="35"/>
      <c r="L670" s="8"/>
      <c r="M670" s="8"/>
      <c r="N670" s="8"/>
    </row>
    <row r="671" spans="1:14" ht="21.6" customHeight="1" thickBot="1" x14ac:dyDescent="0.25">
      <c r="A671" s="8"/>
      <c r="B671" s="8"/>
      <c r="C671" s="8"/>
      <c r="D671" s="26"/>
      <c r="E671" s="6" t="s">
        <v>1435</v>
      </c>
      <c r="F671" s="4"/>
      <c r="G671" s="22"/>
      <c r="H671" s="22"/>
      <c r="I671" s="22"/>
      <c r="J671" s="24" t="s">
        <v>1436</v>
      </c>
      <c r="K671" s="8"/>
      <c r="L671" s="8"/>
      <c r="M671" s="8"/>
      <c r="N671" s="8"/>
    </row>
    <row r="672" spans="1:14" ht="15.4" customHeight="1" thickBot="1" x14ac:dyDescent="0.25">
      <c r="A672" s="8"/>
      <c r="B672" s="8"/>
      <c r="C672" s="8"/>
      <c r="D672" s="26"/>
      <c r="E672" s="6" t="s">
        <v>1437</v>
      </c>
      <c r="F672" s="4">
        <v>1</v>
      </c>
      <c r="G672" s="22">
        <v>2.34</v>
      </c>
      <c r="H672" s="22"/>
      <c r="I672" s="22">
        <v>1.45</v>
      </c>
      <c r="J672" s="30">
        <f>ROUND(F672*G672*I672,2)</f>
        <v>3.39</v>
      </c>
      <c r="K672" s="8"/>
      <c r="L672" s="8"/>
      <c r="M672" s="8"/>
      <c r="N672" s="8"/>
    </row>
    <row r="673" spans="1:14" ht="15.4" customHeight="1" thickBot="1" x14ac:dyDescent="0.25">
      <c r="A673" s="8"/>
      <c r="B673" s="8"/>
      <c r="C673" s="8"/>
      <c r="D673" s="26"/>
      <c r="E673" s="6" t="s">
        <v>1438</v>
      </c>
      <c r="F673" s="4">
        <v>1</v>
      </c>
      <c r="G673" s="22">
        <v>2.74</v>
      </c>
      <c r="H673" s="22"/>
      <c r="I673" s="22">
        <v>1.45</v>
      </c>
      <c r="J673" s="30">
        <f>ROUND(F673*G673*I673,2)</f>
        <v>3.97</v>
      </c>
      <c r="K673" s="8"/>
      <c r="L673" s="8"/>
      <c r="M673" s="8"/>
      <c r="N673" s="8"/>
    </row>
    <row r="674" spans="1:14" ht="15.4" customHeight="1" thickBot="1" x14ac:dyDescent="0.25">
      <c r="A674" s="8"/>
      <c r="B674" s="8"/>
      <c r="C674" s="8"/>
      <c r="D674" s="26"/>
      <c r="E674" s="6" t="s">
        <v>1439</v>
      </c>
      <c r="F674" s="4">
        <v>1</v>
      </c>
      <c r="G674" s="22">
        <v>2.94</v>
      </c>
      <c r="H674" s="22"/>
      <c r="I674" s="22">
        <v>1.45</v>
      </c>
      <c r="J674" s="30">
        <f>ROUND(F674*G674*I674,2)</f>
        <v>4.26</v>
      </c>
      <c r="K674" s="8"/>
      <c r="L674" s="8"/>
      <c r="M674" s="8"/>
      <c r="N674" s="8"/>
    </row>
    <row r="675" spans="1:14" ht="15.4" customHeight="1" thickBot="1" x14ac:dyDescent="0.25">
      <c r="A675" s="8"/>
      <c r="B675" s="8"/>
      <c r="C675" s="8"/>
      <c r="D675" s="26"/>
      <c r="E675" s="6" t="s">
        <v>1440</v>
      </c>
      <c r="F675" s="4">
        <v>1</v>
      </c>
      <c r="G675" s="22">
        <v>3.03</v>
      </c>
      <c r="H675" s="22"/>
      <c r="I675" s="22">
        <v>1.45</v>
      </c>
      <c r="J675" s="30">
        <f>ROUND(F675*G675*I675,2)</f>
        <v>4.3899999999999997</v>
      </c>
      <c r="K675" s="32">
        <f>SUM(J670:J675)</f>
        <v>24.26</v>
      </c>
      <c r="L675" s="8"/>
      <c r="M675" s="8"/>
      <c r="N675" s="8"/>
    </row>
    <row r="676" spans="1:14" ht="15.4" customHeight="1" thickBot="1" x14ac:dyDescent="0.25">
      <c r="A676" s="12" t="s">
        <v>1441</v>
      </c>
      <c r="B676" s="6" t="s">
        <v>1442</v>
      </c>
      <c r="C676" s="6" t="s">
        <v>1443</v>
      </c>
      <c r="D676" s="60" t="s">
        <v>1444</v>
      </c>
      <c r="E676" s="60"/>
      <c r="F676" s="60"/>
      <c r="G676" s="60"/>
      <c r="H676" s="60"/>
      <c r="I676" s="60"/>
      <c r="J676" s="60"/>
      <c r="K676" s="22">
        <f>SUM(K679:K684)</f>
        <v>16.36</v>
      </c>
      <c r="L676" s="22">
        <f>ROUND(107.09*(1+M2/100),2)</f>
        <v>107.09</v>
      </c>
      <c r="M676" s="22">
        <f>ROUND(K676*L676,2)</f>
        <v>1751.99</v>
      </c>
      <c r="N676" s="8"/>
    </row>
    <row r="677" spans="1:14" ht="49.7" customHeight="1" thickBot="1" x14ac:dyDescent="0.25">
      <c r="A677" s="8"/>
      <c r="B677" s="8"/>
      <c r="C677" s="8"/>
      <c r="D677" s="60" t="s">
        <v>1445</v>
      </c>
      <c r="E677" s="60"/>
      <c r="F677" s="60"/>
      <c r="G677" s="60"/>
      <c r="H677" s="60"/>
      <c r="I677" s="60"/>
      <c r="J677" s="60"/>
      <c r="K677" s="60"/>
      <c r="L677" s="60"/>
      <c r="M677" s="60"/>
      <c r="N677" s="8"/>
    </row>
    <row r="678" spans="1:14" ht="15.4" customHeight="1" thickBot="1" x14ac:dyDescent="0.25">
      <c r="A678" s="8"/>
      <c r="B678" s="8"/>
      <c r="C678" s="8"/>
      <c r="D678" s="8"/>
      <c r="E678" s="23"/>
      <c r="F678" s="25" t="s">
        <v>1446</v>
      </c>
      <c r="G678" s="25" t="s">
        <v>1447</v>
      </c>
      <c r="H678" s="25" t="s">
        <v>1448</v>
      </c>
      <c r="I678" s="25" t="s">
        <v>1449</v>
      </c>
      <c r="J678" s="25" t="s">
        <v>1450</v>
      </c>
      <c r="K678" s="25" t="s">
        <v>1451</v>
      </c>
      <c r="L678" s="8"/>
      <c r="M678" s="8"/>
      <c r="N678" s="8"/>
    </row>
    <row r="679" spans="1:14" ht="21.6" customHeight="1" thickBot="1" x14ac:dyDescent="0.25">
      <c r="A679" s="8"/>
      <c r="B679" s="8"/>
      <c r="C679" s="8"/>
      <c r="D679" s="26"/>
      <c r="E679" s="27" t="s">
        <v>1452</v>
      </c>
      <c r="F679" s="28">
        <v>1</v>
      </c>
      <c r="G679" s="29">
        <v>1.07</v>
      </c>
      <c r="H679" s="29"/>
      <c r="I679" s="29">
        <v>2.2799999999999998</v>
      </c>
      <c r="J679" s="31">
        <f>ROUND(F679*G679*I679,2)</f>
        <v>2.44</v>
      </c>
      <c r="K679" s="35"/>
      <c r="L679" s="8"/>
      <c r="M679" s="8"/>
      <c r="N679" s="8"/>
    </row>
    <row r="680" spans="1:14" ht="21.6" customHeight="1" thickBot="1" x14ac:dyDescent="0.25">
      <c r="A680" s="8"/>
      <c r="B680" s="8"/>
      <c r="C680" s="8"/>
      <c r="D680" s="26"/>
      <c r="E680" s="6" t="s">
        <v>1453</v>
      </c>
      <c r="F680" s="4">
        <v>1</v>
      </c>
      <c r="G680" s="22">
        <v>1.07</v>
      </c>
      <c r="H680" s="22"/>
      <c r="I680" s="22">
        <v>2.2799999999999998</v>
      </c>
      <c r="J680" s="30">
        <f>ROUND(F680*G680*I680,2)</f>
        <v>2.44</v>
      </c>
      <c r="K680" s="8"/>
      <c r="L680" s="8"/>
      <c r="M680" s="8"/>
      <c r="N680" s="8"/>
    </row>
    <row r="681" spans="1:14" ht="21.6" customHeight="1" thickBot="1" x14ac:dyDescent="0.25">
      <c r="A681" s="8"/>
      <c r="B681" s="8"/>
      <c r="C681" s="8"/>
      <c r="D681" s="26"/>
      <c r="E681" s="6" t="s">
        <v>1454</v>
      </c>
      <c r="F681" s="4">
        <v>1</v>
      </c>
      <c r="G681" s="22">
        <v>0.93</v>
      </c>
      <c r="H681" s="22"/>
      <c r="I681" s="22">
        <v>2.1</v>
      </c>
      <c r="J681" s="30">
        <f>ROUND(F681*G681*I681,2)</f>
        <v>1.95</v>
      </c>
      <c r="K681" s="8"/>
      <c r="L681" s="8"/>
      <c r="M681" s="8"/>
      <c r="N681" s="8"/>
    </row>
    <row r="682" spans="1:14" ht="21.6" customHeight="1" thickBot="1" x14ac:dyDescent="0.25">
      <c r="A682" s="8"/>
      <c r="B682" s="8"/>
      <c r="C682" s="8"/>
      <c r="D682" s="26"/>
      <c r="E682" s="6" t="s">
        <v>1455</v>
      </c>
      <c r="F682" s="4"/>
      <c r="G682" s="22"/>
      <c r="H682" s="22"/>
      <c r="I682" s="22"/>
      <c r="J682" s="24" t="s">
        <v>1456</v>
      </c>
      <c r="K682" s="8"/>
      <c r="L682" s="8"/>
      <c r="M682" s="8"/>
      <c r="N682" s="8"/>
    </row>
    <row r="683" spans="1:14" ht="15.4" customHeight="1" thickBot="1" x14ac:dyDescent="0.25">
      <c r="A683" s="8"/>
      <c r="B683" s="8"/>
      <c r="C683" s="8"/>
      <c r="D683" s="26"/>
      <c r="E683" s="6" t="s">
        <v>1457</v>
      </c>
      <c r="F683" s="4">
        <v>1</v>
      </c>
      <c r="G683" s="22">
        <v>3.27</v>
      </c>
      <c r="H683" s="22"/>
      <c r="I683" s="22">
        <v>2.2799999999999998</v>
      </c>
      <c r="J683" s="30">
        <f>ROUND(F683*G683*I683,2)</f>
        <v>7.46</v>
      </c>
      <c r="K683" s="8"/>
      <c r="L683" s="8"/>
      <c r="M683" s="8"/>
      <c r="N683" s="8"/>
    </row>
    <row r="684" spans="1:14" ht="15.4" customHeight="1" thickBot="1" x14ac:dyDescent="0.25">
      <c r="A684" s="8"/>
      <c r="B684" s="8"/>
      <c r="C684" s="8"/>
      <c r="D684" s="26"/>
      <c r="E684" s="6" t="s">
        <v>1458</v>
      </c>
      <c r="F684" s="4">
        <v>1</v>
      </c>
      <c r="G684" s="22">
        <v>1.5</v>
      </c>
      <c r="H684" s="22"/>
      <c r="I684" s="22">
        <v>1.38</v>
      </c>
      <c r="J684" s="30">
        <f>ROUND(F684*G684*I684,2)</f>
        <v>2.0699999999999998</v>
      </c>
      <c r="K684" s="32">
        <f>SUM(J679:J684)</f>
        <v>16.36</v>
      </c>
      <c r="L684" s="8"/>
      <c r="M684" s="8"/>
      <c r="N684" s="8"/>
    </row>
    <row r="685" spans="1:14" ht="15.4" customHeight="1" thickBot="1" x14ac:dyDescent="0.25">
      <c r="A685" s="12" t="s">
        <v>1459</v>
      </c>
      <c r="B685" s="6" t="s">
        <v>1460</v>
      </c>
      <c r="C685" s="6" t="s">
        <v>1461</v>
      </c>
      <c r="D685" s="60" t="s">
        <v>1462</v>
      </c>
      <c r="E685" s="60"/>
      <c r="F685" s="60"/>
      <c r="G685" s="60"/>
      <c r="H685" s="60"/>
      <c r="I685" s="60"/>
      <c r="J685" s="60"/>
      <c r="K685" s="22">
        <f>SUM(K688:K688)</f>
        <v>2</v>
      </c>
      <c r="L685" s="22">
        <f>ROUND(1047.13*(1+M2/100),2)</f>
        <v>1047.1300000000001</v>
      </c>
      <c r="M685" s="22">
        <f>ROUND(K685*L685,2)</f>
        <v>2094.2600000000002</v>
      </c>
      <c r="N685" s="8"/>
    </row>
    <row r="686" spans="1:14" ht="30.95" customHeight="1" thickBot="1" x14ac:dyDescent="0.25">
      <c r="A686" s="8"/>
      <c r="B686" s="8"/>
      <c r="C686" s="8"/>
      <c r="D686" s="60" t="s">
        <v>1463</v>
      </c>
      <c r="E686" s="60"/>
      <c r="F686" s="60"/>
      <c r="G686" s="60"/>
      <c r="H686" s="60"/>
      <c r="I686" s="60"/>
      <c r="J686" s="60"/>
      <c r="K686" s="60"/>
      <c r="L686" s="60"/>
      <c r="M686" s="60"/>
      <c r="N686" s="8"/>
    </row>
    <row r="687" spans="1:14" ht="15.4" customHeight="1" thickBot="1" x14ac:dyDescent="0.25">
      <c r="A687" s="8"/>
      <c r="B687" s="8"/>
      <c r="C687" s="8"/>
      <c r="D687" s="8"/>
      <c r="E687" s="23"/>
      <c r="F687" s="25" t="s">
        <v>1464</v>
      </c>
      <c r="G687" s="25" t="s">
        <v>1465</v>
      </c>
      <c r="H687" s="25" t="s">
        <v>1466</v>
      </c>
      <c r="I687" s="25" t="s">
        <v>1467</v>
      </c>
      <c r="J687" s="25" t="s">
        <v>1468</v>
      </c>
      <c r="K687" s="25" t="s">
        <v>1469</v>
      </c>
      <c r="L687" s="8"/>
      <c r="M687" s="8"/>
      <c r="N687" s="8"/>
    </row>
    <row r="688" spans="1:14" ht="21.6" customHeight="1" thickBot="1" x14ac:dyDescent="0.25">
      <c r="A688" s="8"/>
      <c r="B688" s="8"/>
      <c r="C688" s="8"/>
      <c r="D688" s="26"/>
      <c r="E688" s="27" t="s">
        <v>1470</v>
      </c>
      <c r="F688" s="28">
        <v>2</v>
      </c>
      <c r="G688" s="29"/>
      <c r="H688" s="29"/>
      <c r="I688" s="29"/>
      <c r="J688" s="31">
        <f>ROUND(F688,2)</f>
        <v>2</v>
      </c>
      <c r="K688" s="33">
        <f>SUM(J688:J688)</f>
        <v>2</v>
      </c>
      <c r="L688" s="8"/>
      <c r="M688" s="8"/>
      <c r="N688" s="8"/>
    </row>
    <row r="689" spans="1:14" ht="15.4" customHeight="1" thickBot="1" x14ac:dyDescent="0.25">
      <c r="A689" s="12" t="s">
        <v>1471</v>
      </c>
      <c r="B689" s="6" t="s">
        <v>1472</v>
      </c>
      <c r="C689" s="6" t="s">
        <v>1473</v>
      </c>
      <c r="D689" s="60" t="s">
        <v>1474</v>
      </c>
      <c r="E689" s="60"/>
      <c r="F689" s="60"/>
      <c r="G689" s="60"/>
      <c r="H689" s="60"/>
      <c r="I689" s="60"/>
      <c r="J689" s="60"/>
      <c r="K689" s="22">
        <f>SUM(K692:K693)</f>
        <v>8</v>
      </c>
      <c r="L689" s="22">
        <f>ROUND(95.2*(1+M2/100),2)</f>
        <v>95.2</v>
      </c>
      <c r="M689" s="22">
        <f>ROUND(K689*L689,2)</f>
        <v>761.6</v>
      </c>
      <c r="N689" s="8"/>
    </row>
    <row r="690" spans="1:14" ht="21.6" customHeight="1" thickBot="1" x14ac:dyDescent="0.25">
      <c r="A690" s="8"/>
      <c r="B690" s="8"/>
      <c r="C690" s="8"/>
      <c r="D690" s="60" t="s">
        <v>1475</v>
      </c>
      <c r="E690" s="60"/>
      <c r="F690" s="60"/>
      <c r="G690" s="60"/>
      <c r="H690" s="60"/>
      <c r="I690" s="60"/>
      <c r="J690" s="60"/>
      <c r="K690" s="60"/>
      <c r="L690" s="60"/>
      <c r="M690" s="60"/>
      <c r="N690" s="8"/>
    </row>
    <row r="691" spans="1:14" ht="15.4" customHeight="1" thickBot="1" x14ac:dyDescent="0.25">
      <c r="A691" s="8"/>
      <c r="B691" s="8"/>
      <c r="C691" s="8"/>
      <c r="D691" s="8"/>
      <c r="E691" s="23"/>
      <c r="F691" s="25" t="s">
        <v>1476</v>
      </c>
      <c r="G691" s="25" t="s">
        <v>1477</v>
      </c>
      <c r="H691" s="25" t="s">
        <v>1478</v>
      </c>
      <c r="I691" s="25" t="s">
        <v>1479</v>
      </c>
      <c r="J691" s="25" t="s">
        <v>1480</v>
      </c>
      <c r="K691" s="25" t="s">
        <v>1481</v>
      </c>
      <c r="L691" s="8"/>
      <c r="M691" s="8"/>
      <c r="N691" s="8"/>
    </row>
    <row r="692" spans="1:14" ht="21.6" customHeight="1" thickBot="1" x14ac:dyDescent="0.25">
      <c r="A692" s="8"/>
      <c r="B692" s="8"/>
      <c r="C692" s="8"/>
      <c r="D692" s="26"/>
      <c r="E692" s="27" t="s">
        <v>1482</v>
      </c>
      <c r="F692" s="28">
        <v>4</v>
      </c>
      <c r="G692" s="29"/>
      <c r="H692" s="29"/>
      <c r="I692" s="29"/>
      <c r="J692" s="31">
        <f>ROUND(F692,2)</f>
        <v>4</v>
      </c>
      <c r="K692" s="35"/>
      <c r="L692" s="8"/>
      <c r="M692" s="8"/>
      <c r="N692" s="8"/>
    </row>
    <row r="693" spans="1:14" ht="21.6" customHeight="1" thickBot="1" x14ac:dyDescent="0.25">
      <c r="A693" s="8"/>
      <c r="B693" s="8"/>
      <c r="C693" s="8"/>
      <c r="D693" s="26"/>
      <c r="E693" s="6" t="s">
        <v>1483</v>
      </c>
      <c r="F693" s="4">
        <v>4</v>
      </c>
      <c r="G693" s="22"/>
      <c r="H693" s="22"/>
      <c r="I693" s="22"/>
      <c r="J693" s="30">
        <f>ROUND(F693,2)</f>
        <v>4</v>
      </c>
      <c r="K693" s="32">
        <f>SUM(J692:J693)</f>
        <v>8</v>
      </c>
      <c r="L693" s="8"/>
      <c r="M693" s="8"/>
      <c r="N693" s="8"/>
    </row>
    <row r="694" spans="1:14" ht="15.4" customHeight="1" thickBot="1" x14ac:dyDescent="0.25">
      <c r="A694" s="12" t="s">
        <v>1484</v>
      </c>
      <c r="B694" s="6" t="s">
        <v>1485</v>
      </c>
      <c r="C694" s="6" t="s">
        <v>1486</v>
      </c>
      <c r="D694" s="60" t="s">
        <v>1487</v>
      </c>
      <c r="E694" s="60"/>
      <c r="F694" s="60"/>
      <c r="G694" s="60"/>
      <c r="H694" s="60"/>
      <c r="I694" s="60"/>
      <c r="J694" s="60"/>
      <c r="K694" s="22">
        <f>SUM(K697:K703)</f>
        <v>66.87</v>
      </c>
      <c r="L694" s="22">
        <f>ROUND(95.2*(1+M2/100),2)</f>
        <v>95.2</v>
      </c>
      <c r="M694" s="22">
        <f>ROUND(K694*L694,2)</f>
        <v>6366.02</v>
      </c>
      <c r="N694" s="8"/>
    </row>
    <row r="695" spans="1:14" ht="21.6" customHeight="1" thickBot="1" x14ac:dyDescent="0.25">
      <c r="A695" s="8"/>
      <c r="B695" s="8"/>
      <c r="C695" s="8"/>
      <c r="D695" s="60" t="s">
        <v>1488</v>
      </c>
      <c r="E695" s="60"/>
      <c r="F695" s="60"/>
      <c r="G695" s="60"/>
      <c r="H695" s="60"/>
      <c r="I695" s="60"/>
      <c r="J695" s="60"/>
      <c r="K695" s="60"/>
      <c r="L695" s="60"/>
      <c r="M695" s="60"/>
      <c r="N695" s="8"/>
    </row>
    <row r="696" spans="1:14" ht="15.4" customHeight="1" thickBot="1" x14ac:dyDescent="0.25">
      <c r="A696" s="8"/>
      <c r="B696" s="8"/>
      <c r="C696" s="8"/>
      <c r="D696" s="8"/>
      <c r="E696" s="23"/>
      <c r="F696" s="25" t="s">
        <v>1489</v>
      </c>
      <c r="G696" s="25" t="s">
        <v>1490</v>
      </c>
      <c r="H696" s="25" t="s">
        <v>1491</v>
      </c>
      <c r="I696" s="25" t="s">
        <v>1492</v>
      </c>
      <c r="J696" s="25" t="s">
        <v>1493</v>
      </c>
      <c r="K696" s="25" t="s">
        <v>1494</v>
      </c>
      <c r="L696" s="8"/>
      <c r="M696" s="8"/>
      <c r="N696" s="8"/>
    </row>
    <row r="697" spans="1:14" ht="40.35" customHeight="1" thickBot="1" x14ac:dyDescent="0.25">
      <c r="A697" s="8"/>
      <c r="B697" s="8"/>
      <c r="C697" s="8"/>
      <c r="D697" s="26"/>
      <c r="E697" s="27" t="s">
        <v>1495</v>
      </c>
      <c r="F697" s="28"/>
      <c r="G697" s="29"/>
      <c r="H697" s="29"/>
      <c r="I697" s="29"/>
      <c r="J697" s="34" t="s">
        <v>1496</v>
      </c>
      <c r="K697" s="35"/>
      <c r="L697" s="8"/>
      <c r="M697" s="8"/>
      <c r="N697" s="8"/>
    </row>
    <row r="698" spans="1:14" ht="21.6" customHeight="1" thickBot="1" x14ac:dyDescent="0.25">
      <c r="A698" s="8"/>
      <c r="B698" s="8"/>
      <c r="C698" s="8"/>
      <c r="D698" s="26"/>
      <c r="E698" s="6" t="s">
        <v>1497</v>
      </c>
      <c r="F698" s="4">
        <v>2</v>
      </c>
      <c r="G698" s="22">
        <v>0.6</v>
      </c>
      <c r="H698" s="22"/>
      <c r="I698" s="22">
        <v>1</v>
      </c>
      <c r="J698" s="30">
        <f t="shared" ref="J698:J703" si="14">ROUND(F698*G698*I698,2)</f>
        <v>1.2</v>
      </c>
      <c r="K698" s="8"/>
      <c r="L698" s="8"/>
      <c r="M698" s="8"/>
      <c r="N698" s="8"/>
    </row>
    <row r="699" spans="1:14" ht="15.4" customHeight="1" thickBot="1" x14ac:dyDescent="0.25">
      <c r="A699" s="8"/>
      <c r="B699" s="8"/>
      <c r="C699" s="8"/>
      <c r="D699" s="26"/>
      <c r="E699" s="6" t="s">
        <v>1498</v>
      </c>
      <c r="F699" s="4">
        <v>2</v>
      </c>
      <c r="G699" s="22">
        <v>1.6</v>
      </c>
      <c r="H699" s="22"/>
      <c r="I699" s="22">
        <v>1.2</v>
      </c>
      <c r="J699" s="30">
        <f t="shared" si="14"/>
        <v>3.84</v>
      </c>
      <c r="K699" s="8"/>
      <c r="L699" s="8"/>
      <c r="M699" s="8"/>
      <c r="N699" s="8"/>
    </row>
    <row r="700" spans="1:14" ht="15.4" customHeight="1" thickBot="1" x14ac:dyDescent="0.25">
      <c r="A700" s="8"/>
      <c r="B700" s="8"/>
      <c r="C700" s="8"/>
      <c r="D700" s="26"/>
      <c r="E700" s="6" t="s">
        <v>1499</v>
      </c>
      <c r="F700" s="4">
        <v>1</v>
      </c>
      <c r="G700" s="22">
        <v>15.05</v>
      </c>
      <c r="H700" s="22"/>
      <c r="I700" s="22">
        <v>1.6</v>
      </c>
      <c r="J700" s="30">
        <f t="shared" si="14"/>
        <v>24.08</v>
      </c>
      <c r="K700" s="8"/>
      <c r="L700" s="8"/>
      <c r="M700" s="8"/>
      <c r="N700" s="8"/>
    </row>
    <row r="701" spans="1:14" ht="15.4" customHeight="1" thickBot="1" x14ac:dyDescent="0.25">
      <c r="A701" s="8"/>
      <c r="B701" s="8"/>
      <c r="C701" s="8"/>
      <c r="D701" s="26"/>
      <c r="E701" s="6"/>
      <c r="F701" s="4">
        <v>2</v>
      </c>
      <c r="G701" s="22">
        <v>1.4</v>
      </c>
      <c r="H701" s="22"/>
      <c r="I701" s="22">
        <v>1.6</v>
      </c>
      <c r="J701" s="30">
        <f t="shared" si="14"/>
        <v>4.4800000000000004</v>
      </c>
      <c r="K701" s="8"/>
      <c r="L701" s="8"/>
      <c r="M701" s="8"/>
      <c r="N701" s="8"/>
    </row>
    <row r="702" spans="1:14" ht="15.4" customHeight="1" thickBot="1" x14ac:dyDescent="0.25">
      <c r="A702" s="8"/>
      <c r="B702" s="8"/>
      <c r="C702" s="8"/>
      <c r="D702" s="26"/>
      <c r="E702" s="6" t="s">
        <v>1500</v>
      </c>
      <c r="F702" s="4">
        <v>2</v>
      </c>
      <c r="G702" s="22">
        <v>1.4</v>
      </c>
      <c r="H702" s="22"/>
      <c r="I702" s="22">
        <v>1.6</v>
      </c>
      <c r="J702" s="30">
        <f t="shared" si="14"/>
        <v>4.4800000000000004</v>
      </c>
      <c r="K702" s="8"/>
      <c r="L702" s="8"/>
      <c r="M702" s="8"/>
      <c r="N702" s="8"/>
    </row>
    <row r="703" spans="1:14" ht="15.4" customHeight="1" thickBot="1" x14ac:dyDescent="0.25">
      <c r="A703" s="8"/>
      <c r="B703" s="8"/>
      <c r="C703" s="8"/>
      <c r="D703" s="26"/>
      <c r="E703" s="6" t="s">
        <v>1501</v>
      </c>
      <c r="F703" s="4">
        <v>1</v>
      </c>
      <c r="G703" s="22">
        <v>13.71</v>
      </c>
      <c r="H703" s="22"/>
      <c r="I703" s="22">
        <v>2.1</v>
      </c>
      <c r="J703" s="30">
        <f t="shared" si="14"/>
        <v>28.79</v>
      </c>
      <c r="K703" s="32">
        <f>SUM(J697:J703)</f>
        <v>66.87</v>
      </c>
      <c r="L703" s="8"/>
      <c r="M703" s="8"/>
      <c r="N703" s="8"/>
    </row>
    <row r="704" spans="1:14" ht="15.4" customHeight="1" thickBot="1" x14ac:dyDescent="0.25">
      <c r="A704" s="12" t="s">
        <v>1502</v>
      </c>
      <c r="B704" s="6" t="s">
        <v>1503</v>
      </c>
      <c r="C704" s="6" t="s">
        <v>1504</v>
      </c>
      <c r="D704" s="60" t="s">
        <v>1505</v>
      </c>
      <c r="E704" s="60"/>
      <c r="F704" s="60"/>
      <c r="G704" s="60"/>
      <c r="H704" s="60"/>
      <c r="I704" s="60"/>
      <c r="J704" s="60"/>
      <c r="K704" s="22">
        <f>SUM(K707:K714)</f>
        <v>13.350000000000001</v>
      </c>
      <c r="L704" s="22">
        <f>ROUND(23.79*(1+M2/100),2)</f>
        <v>23.79</v>
      </c>
      <c r="M704" s="22">
        <f>ROUND(K704*L704,2)</f>
        <v>317.60000000000002</v>
      </c>
      <c r="N704" s="8"/>
    </row>
    <row r="705" spans="1:14" ht="21.6" customHeight="1" thickBot="1" x14ac:dyDescent="0.25">
      <c r="A705" s="8"/>
      <c r="B705" s="8"/>
      <c r="C705" s="8"/>
      <c r="D705" s="60" t="s">
        <v>1506</v>
      </c>
      <c r="E705" s="60"/>
      <c r="F705" s="60"/>
      <c r="G705" s="60"/>
      <c r="H705" s="60"/>
      <c r="I705" s="60"/>
      <c r="J705" s="60"/>
      <c r="K705" s="60"/>
      <c r="L705" s="60"/>
      <c r="M705" s="60"/>
      <c r="N705" s="8"/>
    </row>
    <row r="706" spans="1:14" ht="15.4" customHeight="1" thickBot="1" x14ac:dyDescent="0.25">
      <c r="A706" s="8"/>
      <c r="B706" s="8"/>
      <c r="C706" s="8"/>
      <c r="D706" s="8"/>
      <c r="E706" s="23"/>
      <c r="F706" s="25" t="s">
        <v>1507</v>
      </c>
      <c r="G706" s="25" t="s">
        <v>1508</v>
      </c>
      <c r="H706" s="25" t="s">
        <v>1509</v>
      </c>
      <c r="I706" s="25" t="s">
        <v>1510</v>
      </c>
      <c r="J706" s="25" t="s">
        <v>1511</v>
      </c>
      <c r="K706" s="25" t="s">
        <v>1512</v>
      </c>
      <c r="L706" s="8"/>
      <c r="M706" s="8"/>
      <c r="N706" s="8"/>
    </row>
    <row r="707" spans="1:14" ht="21.6" customHeight="1" thickBot="1" x14ac:dyDescent="0.25">
      <c r="A707" s="8"/>
      <c r="B707" s="8"/>
      <c r="C707" s="8"/>
      <c r="D707" s="26"/>
      <c r="E707" s="27" t="s">
        <v>1513</v>
      </c>
      <c r="F707" s="28">
        <v>1</v>
      </c>
      <c r="G707" s="29">
        <v>0.95</v>
      </c>
      <c r="H707" s="29"/>
      <c r="I707" s="29"/>
      <c r="J707" s="31">
        <f t="shared" ref="J707:J714" si="15">ROUND(F707*G707,2)</f>
        <v>0.95</v>
      </c>
      <c r="K707" s="35"/>
      <c r="L707" s="8"/>
      <c r="M707" s="8"/>
      <c r="N707" s="8"/>
    </row>
    <row r="708" spans="1:14" ht="15.4" customHeight="1" thickBot="1" x14ac:dyDescent="0.25">
      <c r="A708" s="8"/>
      <c r="B708" s="8"/>
      <c r="C708" s="8"/>
      <c r="D708" s="26"/>
      <c r="E708" s="6"/>
      <c r="F708" s="4">
        <v>1</v>
      </c>
      <c r="G708" s="22">
        <v>0.75</v>
      </c>
      <c r="H708" s="22"/>
      <c r="I708" s="22"/>
      <c r="J708" s="30">
        <f t="shared" si="15"/>
        <v>0.75</v>
      </c>
      <c r="K708" s="8"/>
      <c r="L708" s="8"/>
      <c r="M708" s="8"/>
      <c r="N708" s="8"/>
    </row>
    <row r="709" spans="1:14" ht="15.4" customHeight="1" thickBot="1" x14ac:dyDescent="0.25">
      <c r="A709" s="8"/>
      <c r="B709" s="8"/>
      <c r="C709" s="8"/>
      <c r="D709" s="26"/>
      <c r="E709" s="6"/>
      <c r="F709" s="4">
        <v>1</v>
      </c>
      <c r="G709" s="22">
        <v>0.75</v>
      </c>
      <c r="H709" s="22"/>
      <c r="I709" s="22"/>
      <c r="J709" s="30">
        <f t="shared" si="15"/>
        <v>0.75</v>
      </c>
      <c r="K709" s="8"/>
      <c r="L709" s="8"/>
      <c r="M709" s="8"/>
      <c r="N709" s="8"/>
    </row>
    <row r="710" spans="1:14" ht="15.4" customHeight="1" thickBot="1" x14ac:dyDescent="0.25">
      <c r="A710" s="8"/>
      <c r="B710" s="8"/>
      <c r="C710" s="8"/>
      <c r="D710" s="26"/>
      <c r="E710" s="6"/>
      <c r="F710" s="4">
        <v>1</v>
      </c>
      <c r="G710" s="22">
        <v>0.9</v>
      </c>
      <c r="H710" s="22"/>
      <c r="I710" s="22"/>
      <c r="J710" s="30">
        <f t="shared" si="15"/>
        <v>0.9</v>
      </c>
      <c r="K710" s="8"/>
      <c r="L710" s="8"/>
      <c r="M710" s="8"/>
      <c r="N710" s="8"/>
    </row>
    <row r="711" spans="1:14" ht="15.4" customHeight="1" thickBot="1" x14ac:dyDescent="0.25">
      <c r="A711" s="8"/>
      <c r="B711" s="8"/>
      <c r="C711" s="8"/>
      <c r="D711" s="26"/>
      <c r="E711" s="6"/>
      <c r="F711" s="4">
        <v>1</v>
      </c>
      <c r="G711" s="22">
        <v>3</v>
      </c>
      <c r="H711" s="22"/>
      <c r="I711" s="22"/>
      <c r="J711" s="30">
        <f t="shared" si="15"/>
        <v>3</v>
      </c>
      <c r="K711" s="8"/>
      <c r="L711" s="8"/>
      <c r="M711" s="8"/>
      <c r="N711" s="8"/>
    </row>
    <row r="712" spans="1:14" ht="15.4" customHeight="1" thickBot="1" x14ac:dyDescent="0.25">
      <c r="A712" s="8"/>
      <c r="B712" s="8"/>
      <c r="C712" s="8"/>
      <c r="D712" s="26"/>
      <c r="E712" s="6"/>
      <c r="F712" s="4">
        <v>1</v>
      </c>
      <c r="G712" s="22">
        <v>2.5</v>
      </c>
      <c r="H712" s="22"/>
      <c r="I712" s="22"/>
      <c r="J712" s="30">
        <f t="shared" si="15"/>
        <v>2.5</v>
      </c>
      <c r="K712" s="8"/>
      <c r="L712" s="8"/>
      <c r="M712" s="8"/>
      <c r="N712" s="8"/>
    </row>
    <row r="713" spans="1:14" ht="21.6" customHeight="1" thickBot="1" x14ac:dyDescent="0.25">
      <c r="A713" s="8"/>
      <c r="B713" s="8"/>
      <c r="C713" s="8"/>
      <c r="D713" s="26"/>
      <c r="E713" s="6" t="s">
        <v>1514</v>
      </c>
      <c r="F713" s="4">
        <v>1</v>
      </c>
      <c r="G713" s="22">
        <v>3.2</v>
      </c>
      <c r="H713" s="22"/>
      <c r="I713" s="22"/>
      <c r="J713" s="30">
        <f t="shared" si="15"/>
        <v>3.2</v>
      </c>
      <c r="K713" s="8"/>
      <c r="L713" s="8"/>
      <c r="M713" s="8"/>
      <c r="N713" s="8"/>
    </row>
    <row r="714" spans="1:14" ht="15.4" customHeight="1" thickBot="1" x14ac:dyDescent="0.25">
      <c r="A714" s="8"/>
      <c r="B714" s="8"/>
      <c r="C714" s="8"/>
      <c r="D714" s="26"/>
      <c r="E714" s="6"/>
      <c r="F714" s="4">
        <v>2</v>
      </c>
      <c r="G714" s="22">
        <v>0.65</v>
      </c>
      <c r="H714" s="22"/>
      <c r="I714" s="22"/>
      <c r="J714" s="30">
        <f t="shared" si="15"/>
        <v>1.3</v>
      </c>
      <c r="K714" s="32">
        <f>SUM(J707:J714)</f>
        <v>13.350000000000001</v>
      </c>
      <c r="L714" s="8"/>
      <c r="M714" s="8"/>
      <c r="N714" s="8"/>
    </row>
    <row r="715" spans="1:14" ht="15.4" customHeight="1" thickBot="1" x14ac:dyDescent="0.25">
      <c r="A715" s="12" t="s">
        <v>1515</v>
      </c>
      <c r="B715" s="6" t="s">
        <v>1516</v>
      </c>
      <c r="C715" s="6" t="s">
        <v>1517</v>
      </c>
      <c r="D715" s="60" t="s">
        <v>1518</v>
      </c>
      <c r="E715" s="60"/>
      <c r="F715" s="60"/>
      <c r="G715" s="60"/>
      <c r="H715" s="60"/>
      <c r="I715" s="60"/>
      <c r="J715" s="60"/>
      <c r="K715" s="22">
        <f>SUM(K718:K721)</f>
        <v>10.85</v>
      </c>
      <c r="L715" s="22">
        <f>ROUND(285.58*(1+M2/100),2)</f>
        <v>285.58</v>
      </c>
      <c r="M715" s="22">
        <f>ROUND(K715*L715,2)</f>
        <v>3098.54</v>
      </c>
      <c r="N715" s="8"/>
    </row>
    <row r="716" spans="1:14" ht="77.849999999999994" customHeight="1" thickBot="1" x14ac:dyDescent="0.25">
      <c r="A716" s="8"/>
      <c r="B716" s="8"/>
      <c r="C716" s="8"/>
      <c r="D716" s="60" t="s">
        <v>1519</v>
      </c>
      <c r="E716" s="60"/>
      <c r="F716" s="60"/>
      <c r="G716" s="60"/>
      <c r="H716" s="60"/>
      <c r="I716" s="60"/>
      <c r="J716" s="60"/>
      <c r="K716" s="60"/>
      <c r="L716" s="60"/>
      <c r="M716" s="60"/>
      <c r="N716" s="8"/>
    </row>
    <row r="717" spans="1:14" ht="15.4" customHeight="1" thickBot="1" x14ac:dyDescent="0.25">
      <c r="A717" s="8"/>
      <c r="B717" s="8"/>
      <c r="C717" s="8"/>
      <c r="D717" s="8"/>
      <c r="E717" s="23"/>
      <c r="F717" s="25" t="s">
        <v>1520</v>
      </c>
      <c r="G717" s="25" t="s">
        <v>1521</v>
      </c>
      <c r="H717" s="25" t="s">
        <v>1522</v>
      </c>
      <c r="I717" s="25" t="s">
        <v>1523</v>
      </c>
      <c r="J717" s="25" t="s">
        <v>1524</v>
      </c>
      <c r="K717" s="25" t="s">
        <v>1525</v>
      </c>
      <c r="L717" s="8"/>
      <c r="M717" s="8"/>
      <c r="N717" s="8"/>
    </row>
    <row r="718" spans="1:14" ht="21.6" customHeight="1" thickBot="1" x14ac:dyDescent="0.25">
      <c r="A718" s="8"/>
      <c r="B718" s="8"/>
      <c r="C718" s="8"/>
      <c r="D718" s="26"/>
      <c r="E718" s="27" t="s">
        <v>1526</v>
      </c>
      <c r="F718" s="28">
        <v>1</v>
      </c>
      <c r="G718" s="29">
        <v>1.95</v>
      </c>
      <c r="H718" s="29"/>
      <c r="I718" s="29">
        <v>1.4</v>
      </c>
      <c r="J718" s="31">
        <f>ROUND(F718*G718*I718,2)</f>
        <v>2.73</v>
      </c>
      <c r="K718" s="35"/>
      <c r="L718" s="8"/>
      <c r="M718" s="8"/>
      <c r="N718" s="8"/>
    </row>
    <row r="719" spans="1:14" ht="15.4" customHeight="1" thickBot="1" x14ac:dyDescent="0.25">
      <c r="A719" s="8"/>
      <c r="B719" s="8"/>
      <c r="C719" s="8"/>
      <c r="D719" s="26"/>
      <c r="E719" s="6"/>
      <c r="F719" s="4">
        <v>1</v>
      </c>
      <c r="G719" s="22">
        <v>2.5</v>
      </c>
      <c r="H719" s="22"/>
      <c r="I719" s="22">
        <v>1.4</v>
      </c>
      <c r="J719" s="30">
        <f>ROUND(F719*G719*I719,2)</f>
        <v>3.5</v>
      </c>
      <c r="K719" s="8"/>
      <c r="L719" s="8"/>
      <c r="M719" s="8"/>
      <c r="N719" s="8"/>
    </row>
    <row r="720" spans="1:14" ht="15.4" customHeight="1" thickBot="1" x14ac:dyDescent="0.25">
      <c r="A720" s="8"/>
      <c r="B720" s="8"/>
      <c r="C720" s="8"/>
      <c r="D720" s="26"/>
      <c r="E720" s="6"/>
      <c r="F720" s="4">
        <v>1</v>
      </c>
      <c r="G720" s="22">
        <v>0.6</v>
      </c>
      <c r="H720" s="22"/>
      <c r="I720" s="22">
        <v>1.4</v>
      </c>
      <c r="J720" s="30">
        <f>ROUND(F720*G720*I720,2)</f>
        <v>0.84</v>
      </c>
      <c r="K720" s="8"/>
      <c r="L720" s="8"/>
      <c r="M720" s="8"/>
      <c r="N720" s="8"/>
    </row>
    <row r="721" spans="1:14" ht="15.4" customHeight="1" thickBot="1" x14ac:dyDescent="0.25">
      <c r="A721" s="8"/>
      <c r="B721" s="8"/>
      <c r="C721" s="8"/>
      <c r="D721" s="26"/>
      <c r="E721" s="6"/>
      <c r="F721" s="4">
        <v>1</v>
      </c>
      <c r="G721" s="22">
        <v>2.7</v>
      </c>
      <c r="H721" s="22"/>
      <c r="I721" s="22">
        <v>1.4</v>
      </c>
      <c r="J721" s="30">
        <f>ROUND(F721*G721*I721,2)</f>
        <v>3.78</v>
      </c>
      <c r="K721" s="32">
        <f>SUM(J718:J721)</f>
        <v>10.85</v>
      </c>
      <c r="L721" s="8"/>
      <c r="M721" s="8"/>
      <c r="N721" s="8"/>
    </row>
    <row r="722" spans="1:14" ht="15.4" customHeight="1" thickBot="1" x14ac:dyDescent="0.25">
      <c r="A722" s="12" t="s">
        <v>1527</v>
      </c>
      <c r="B722" s="6" t="s">
        <v>1528</v>
      </c>
      <c r="C722" s="6" t="s">
        <v>1529</v>
      </c>
      <c r="D722" s="60" t="s">
        <v>1530</v>
      </c>
      <c r="E722" s="60"/>
      <c r="F722" s="60"/>
      <c r="G722" s="60"/>
      <c r="H722" s="60"/>
      <c r="I722" s="60"/>
      <c r="J722" s="60"/>
      <c r="K722" s="22">
        <f>SUM(K725:K725)</f>
        <v>8</v>
      </c>
      <c r="L722" s="22">
        <f>ROUND(95.2*(1+M2/100),2)</f>
        <v>95.2</v>
      </c>
      <c r="M722" s="22">
        <f>ROUND(K722*L722,2)</f>
        <v>761.6</v>
      </c>
      <c r="N722" s="8"/>
    </row>
    <row r="723" spans="1:14" ht="12.2" customHeight="1" thickBot="1" x14ac:dyDescent="0.25">
      <c r="A723" s="8"/>
      <c r="B723" s="8"/>
      <c r="C723" s="8"/>
      <c r="D723" s="60" t="s">
        <v>1531</v>
      </c>
      <c r="E723" s="60"/>
      <c r="F723" s="60"/>
      <c r="G723" s="60"/>
      <c r="H723" s="60"/>
      <c r="I723" s="60"/>
      <c r="J723" s="60"/>
      <c r="K723" s="60"/>
      <c r="L723" s="60"/>
      <c r="M723" s="60"/>
      <c r="N723" s="8"/>
    </row>
    <row r="724" spans="1:14" ht="15.4" customHeight="1" thickBot="1" x14ac:dyDescent="0.25">
      <c r="A724" s="8"/>
      <c r="B724" s="8"/>
      <c r="C724" s="8"/>
      <c r="D724" s="8"/>
      <c r="E724" s="23"/>
      <c r="F724" s="25" t="s">
        <v>1532</v>
      </c>
      <c r="G724" s="25" t="s">
        <v>1533</v>
      </c>
      <c r="H724" s="25" t="s">
        <v>1534</v>
      </c>
      <c r="I724" s="25" t="s">
        <v>1535</v>
      </c>
      <c r="J724" s="25" t="s">
        <v>1536</v>
      </c>
      <c r="K724" s="25" t="s">
        <v>1537</v>
      </c>
      <c r="L724" s="8"/>
      <c r="M724" s="8"/>
      <c r="N724" s="8"/>
    </row>
    <row r="725" spans="1:14" ht="21.6" customHeight="1" thickBot="1" x14ac:dyDescent="0.25">
      <c r="A725" s="8"/>
      <c r="B725" s="8"/>
      <c r="C725" s="8"/>
      <c r="D725" s="26"/>
      <c r="E725" s="27" t="s">
        <v>1538</v>
      </c>
      <c r="F725" s="28">
        <v>8</v>
      </c>
      <c r="G725" s="29"/>
      <c r="H725" s="29"/>
      <c r="I725" s="29"/>
      <c r="J725" s="31">
        <f>ROUND(F725,2)</f>
        <v>8</v>
      </c>
      <c r="K725" s="33">
        <f>SUM(J725:J725)</f>
        <v>8</v>
      </c>
      <c r="L725" s="8"/>
      <c r="M725" s="8"/>
      <c r="N725" s="8"/>
    </row>
    <row r="726" spans="1:14" ht="15.4" customHeight="1" thickBot="1" x14ac:dyDescent="0.25">
      <c r="A726" s="12" t="s">
        <v>1539</v>
      </c>
      <c r="B726" s="6" t="s">
        <v>1540</v>
      </c>
      <c r="C726" s="6" t="s">
        <v>1541</v>
      </c>
      <c r="D726" s="60" t="s">
        <v>1542</v>
      </c>
      <c r="E726" s="60"/>
      <c r="F726" s="60"/>
      <c r="G726" s="60"/>
      <c r="H726" s="60"/>
      <c r="I726" s="60"/>
      <c r="J726" s="60"/>
      <c r="K726" s="22">
        <f>SUM(K729:K741)</f>
        <v>74.069999999999993</v>
      </c>
      <c r="L726" s="22">
        <f>ROUND(72.59*(1+M2/100),2)</f>
        <v>72.59</v>
      </c>
      <c r="M726" s="22">
        <f>ROUND(K726*L726,2)</f>
        <v>5376.74</v>
      </c>
      <c r="N726" s="8"/>
    </row>
    <row r="727" spans="1:14" ht="59.1" customHeight="1" thickBot="1" x14ac:dyDescent="0.25">
      <c r="A727" s="8"/>
      <c r="B727" s="8"/>
      <c r="C727" s="8"/>
      <c r="D727" s="60" t="s">
        <v>1543</v>
      </c>
      <c r="E727" s="60"/>
      <c r="F727" s="60"/>
      <c r="G727" s="60"/>
      <c r="H727" s="60"/>
      <c r="I727" s="60"/>
      <c r="J727" s="60"/>
      <c r="K727" s="60"/>
      <c r="L727" s="60"/>
      <c r="M727" s="60"/>
      <c r="N727" s="8"/>
    </row>
    <row r="728" spans="1:14" ht="15.4" customHeight="1" thickBot="1" x14ac:dyDescent="0.25">
      <c r="A728" s="8"/>
      <c r="B728" s="8"/>
      <c r="C728" s="8"/>
      <c r="D728" s="8"/>
      <c r="E728" s="23"/>
      <c r="F728" s="25" t="s">
        <v>1544</v>
      </c>
      <c r="G728" s="25" t="s">
        <v>1545</v>
      </c>
      <c r="H728" s="25" t="s">
        <v>1546</v>
      </c>
      <c r="I728" s="25" t="s">
        <v>1547</v>
      </c>
      <c r="J728" s="25" t="s">
        <v>1548</v>
      </c>
      <c r="K728" s="25" t="s">
        <v>1549</v>
      </c>
      <c r="L728" s="8"/>
      <c r="M728" s="8"/>
      <c r="N728" s="8"/>
    </row>
    <row r="729" spans="1:14" ht="40.35" customHeight="1" thickBot="1" x14ac:dyDescent="0.25">
      <c r="A729" s="8"/>
      <c r="B729" s="8"/>
      <c r="C729" s="8"/>
      <c r="D729" s="26"/>
      <c r="E729" s="27" t="s">
        <v>1550</v>
      </c>
      <c r="F729" s="28"/>
      <c r="G729" s="29"/>
      <c r="H729" s="29"/>
      <c r="I729" s="29"/>
      <c r="J729" s="34" t="s">
        <v>1551</v>
      </c>
      <c r="K729" s="35"/>
      <c r="L729" s="8"/>
      <c r="M729" s="8"/>
      <c r="N729" s="8"/>
    </row>
    <row r="730" spans="1:14" ht="21.6" customHeight="1" thickBot="1" x14ac:dyDescent="0.25">
      <c r="A730" s="8"/>
      <c r="B730" s="8"/>
      <c r="C730" s="8"/>
      <c r="D730" s="26"/>
      <c r="E730" s="6" t="s">
        <v>1552</v>
      </c>
      <c r="F730" s="4">
        <v>2</v>
      </c>
      <c r="G730" s="22">
        <v>0.6</v>
      </c>
      <c r="H730" s="22"/>
      <c r="I730" s="22">
        <v>1</v>
      </c>
      <c r="J730" s="30">
        <f t="shared" ref="J730:J741" si="16">ROUND(F730*G730*I730,2)</f>
        <v>1.2</v>
      </c>
      <c r="K730" s="8"/>
      <c r="L730" s="8"/>
      <c r="M730" s="8"/>
      <c r="N730" s="8"/>
    </row>
    <row r="731" spans="1:14" ht="15.4" customHeight="1" thickBot="1" x14ac:dyDescent="0.25">
      <c r="A731" s="8"/>
      <c r="B731" s="8"/>
      <c r="C731" s="8"/>
      <c r="D731" s="26"/>
      <c r="E731" s="6" t="s">
        <v>1553</v>
      </c>
      <c r="F731" s="4">
        <v>2</v>
      </c>
      <c r="G731" s="22">
        <v>1.6</v>
      </c>
      <c r="H731" s="22"/>
      <c r="I731" s="22">
        <v>1.2</v>
      </c>
      <c r="J731" s="30">
        <f t="shared" si="16"/>
        <v>3.84</v>
      </c>
      <c r="K731" s="8"/>
      <c r="L731" s="8"/>
      <c r="M731" s="8"/>
      <c r="N731" s="8"/>
    </row>
    <row r="732" spans="1:14" ht="15.4" customHeight="1" thickBot="1" x14ac:dyDescent="0.25">
      <c r="A732" s="8"/>
      <c r="B732" s="8"/>
      <c r="C732" s="8"/>
      <c r="D732" s="26"/>
      <c r="E732" s="6" t="s">
        <v>1554</v>
      </c>
      <c r="F732" s="4">
        <v>1</v>
      </c>
      <c r="G732" s="22">
        <v>15.05</v>
      </c>
      <c r="H732" s="22"/>
      <c r="I732" s="22">
        <v>1.6</v>
      </c>
      <c r="J732" s="30">
        <f t="shared" si="16"/>
        <v>24.08</v>
      </c>
      <c r="K732" s="8"/>
      <c r="L732" s="8"/>
      <c r="M732" s="8"/>
      <c r="N732" s="8"/>
    </row>
    <row r="733" spans="1:14" ht="15.4" customHeight="1" thickBot="1" x14ac:dyDescent="0.25">
      <c r="A733" s="8"/>
      <c r="B733" s="8"/>
      <c r="C733" s="8"/>
      <c r="D733" s="26"/>
      <c r="E733" s="6"/>
      <c r="F733" s="4">
        <v>2</v>
      </c>
      <c r="G733" s="22">
        <v>1.4</v>
      </c>
      <c r="H733" s="22"/>
      <c r="I733" s="22">
        <v>1.6</v>
      </c>
      <c r="J733" s="30">
        <f t="shared" si="16"/>
        <v>4.4800000000000004</v>
      </c>
      <c r="K733" s="8"/>
      <c r="L733" s="8"/>
      <c r="M733" s="8"/>
      <c r="N733" s="8"/>
    </row>
    <row r="734" spans="1:14" ht="15.4" customHeight="1" thickBot="1" x14ac:dyDescent="0.25">
      <c r="A734" s="8"/>
      <c r="B734" s="8"/>
      <c r="C734" s="8"/>
      <c r="D734" s="26"/>
      <c r="E734" s="6" t="s">
        <v>1555</v>
      </c>
      <c r="F734" s="4">
        <v>2</v>
      </c>
      <c r="G734" s="22">
        <v>1.4</v>
      </c>
      <c r="H734" s="22"/>
      <c r="I734" s="22">
        <v>1.6</v>
      </c>
      <c r="J734" s="30">
        <f t="shared" si="16"/>
        <v>4.4800000000000004</v>
      </c>
      <c r="K734" s="8"/>
      <c r="L734" s="8"/>
      <c r="M734" s="8"/>
      <c r="N734" s="8"/>
    </row>
    <row r="735" spans="1:14" ht="15.4" customHeight="1" thickBot="1" x14ac:dyDescent="0.25">
      <c r="A735" s="8"/>
      <c r="B735" s="8"/>
      <c r="C735" s="8"/>
      <c r="D735" s="26"/>
      <c r="E735" s="6" t="s">
        <v>1556</v>
      </c>
      <c r="F735" s="4">
        <v>1</v>
      </c>
      <c r="G735" s="22">
        <v>13.71</v>
      </c>
      <c r="H735" s="22"/>
      <c r="I735" s="22">
        <v>2.1</v>
      </c>
      <c r="J735" s="30">
        <f t="shared" si="16"/>
        <v>28.79</v>
      </c>
      <c r="K735" s="8"/>
      <c r="L735" s="8"/>
      <c r="M735" s="8"/>
      <c r="N735" s="8"/>
    </row>
    <row r="736" spans="1:14" ht="21.6" customHeight="1" thickBot="1" x14ac:dyDescent="0.25">
      <c r="A736" s="8"/>
      <c r="B736" s="8"/>
      <c r="C736" s="8"/>
      <c r="D736" s="26"/>
      <c r="E736" s="6" t="s">
        <v>1557</v>
      </c>
      <c r="F736" s="4">
        <v>2</v>
      </c>
      <c r="G736" s="22">
        <v>1.2</v>
      </c>
      <c r="H736" s="22"/>
      <c r="I736" s="22">
        <v>0.5</v>
      </c>
      <c r="J736" s="30">
        <f t="shared" si="16"/>
        <v>1.2</v>
      </c>
      <c r="K736" s="8"/>
      <c r="L736" s="8"/>
      <c r="M736" s="8"/>
      <c r="N736" s="8"/>
    </row>
    <row r="737" spans="1:14" ht="15.4" customHeight="1" thickBot="1" x14ac:dyDescent="0.25">
      <c r="A737" s="8"/>
      <c r="B737" s="8"/>
      <c r="C737" s="8"/>
      <c r="D737" s="26"/>
      <c r="E737" s="6"/>
      <c r="F737" s="4">
        <v>2</v>
      </c>
      <c r="G737" s="22">
        <v>0.6</v>
      </c>
      <c r="H737" s="22"/>
      <c r="I737" s="22">
        <v>0.5</v>
      </c>
      <c r="J737" s="30">
        <f t="shared" si="16"/>
        <v>0.6</v>
      </c>
      <c r="K737" s="8"/>
      <c r="L737" s="8"/>
      <c r="M737" s="8"/>
      <c r="N737" s="8"/>
    </row>
    <row r="738" spans="1:14" ht="15.4" customHeight="1" thickBot="1" x14ac:dyDescent="0.25">
      <c r="A738" s="8"/>
      <c r="B738" s="8"/>
      <c r="C738" s="8"/>
      <c r="D738" s="26"/>
      <c r="E738" s="6"/>
      <c r="F738" s="4">
        <v>2</v>
      </c>
      <c r="G738" s="22">
        <v>0.8</v>
      </c>
      <c r="H738" s="22"/>
      <c r="I738" s="22">
        <v>0.5</v>
      </c>
      <c r="J738" s="30">
        <f t="shared" si="16"/>
        <v>0.8</v>
      </c>
      <c r="K738" s="8"/>
      <c r="L738" s="8"/>
      <c r="M738" s="8"/>
      <c r="N738" s="8"/>
    </row>
    <row r="739" spans="1:14" ht="21.6" customHeight="1" thickBot="1" x14ac:dyDescent="0.25">
      <c r="A739" s="8"/>
      <c r="B739" s="8"/>
      <c r="C739" s="8"/>
      <c r="D739" s="26"/>
      <c r="E739" s="6" t="s">
        <v>1558</v>
      </c>
      <c r="F739" s="4">
        <v>4</v>
      </c>
      <c r="G739" s="22">
        <v>0.4</v>
      </c>
      <c r="H739" s="22"/>
      <c r="I739" s="22">
        <v>0.5</v>
      </c>
      <c r="J739" s="30">
        <f t="shared" si="16"/>
        <v>0.8</v>
      </c>
      <c r="K739" s="8"/>
      <c r="L739" s="8"/>
      <c r="M739" s="8"/>
      <c r="N739" s="8"/>
    </row>
    <row r="740" spans="1:14" ht="15.4" customHeight="1" thickBot="1" x14ac:dyDescent="0.25">
      <c r="A740" s="8"/>
      <c r="B740" s="8"/>
      <c r="C740" s="8"/>
      <c r="D740" s="26"/>
      <c r="E740" s="6"/>
      <c r="F740" s="4">
        <v>2</v>
      </c>
      <c r="G740" s="22">
        <v>1.6</v>
      </c>
      <c r="H740" s="22"/>
      <c r="I740" s="22">
        <v>0.5</v>
      </c>
      <c r="J740" s="30">
        <f t="shared" si="16"/>
        <v>1.6</v>
      </c>
      <c r="K740" s="8"/>
      <c r="L740" s="8"/>
      <c r="M740" s="8"/>
      <c r="N740" s="8"/>
    </row>
    <row r="741" spans="1:14" ht="15.4" customHeight="1" thickBot="1" x14ac:dyDescent="0.25">
      <c r="A741" s="8"/>
      <c r="B741" s="8"/>
      <c r="C741" s="8"/>
      <c r="D741" s="26"/>
      <c r="E741" s="6" t="s">
        <v>1559</v>
      </c>
      <c r="F741" s="4">
        <v>11</v>
      </c>
      <c r="G741" s="22">
        <v>0.4</v>
      </c>
      <c r="H741" s="22"/>
      <c r="I741" s="22">
        <v>0.5</v>
      </c>
      <c r="J741" s="30">
        <f t="shared" si="16"/>
        <v>2.2000000000000002</v>
      </c>
      <c r="K741" s="32">
        <f>SUM(J729:J741)</f>
        <v>74.069999999999993</v>
      </c>
      <c r="L741" s="8"/>
      <c r="M741" s="8"/>
      <c r="N741" s="8"/>
    </row>
    <row r="742" spans="1:14" ht="15.4" customHeight="1" thickBot="1" x14ac:dyDescent="0.25">
      <c r="A742" s="12" t="s">
        <v>1560</v>
      </c>
      <c r="B742" s="6" t="s">
        <v>1561</v>
      </c>
      <c r="C742" s="6" t="s">
        <v>1562</v>
      </c>
      <c r="D742" s="60" t="s">
        <v>1563</v>
      </c>
      <c r="E742" s="60"/>
      <c r="F742" s="60"/>
      <c r="G742" s="60"/>
      <c r="H742" s="60"/>
      <c r="I742" s="60"/>
      <c r="J742" s="60"/>
      <c r="K742" s="22">
        <f>SUM(K745:K745)</f>
        <v>1</v>
      </c>
      <c r="L742" s="22">
        <f>ROUND(892.45*(1+M2/100),2)</f>
        <v>892.45</v>
      </c>
      <c r="M742" s="22">
        <f>ROUND(K742*L742,2)</f>
        <v>892.45</v>
      </c>
      <c r="N742" s="8"/>
    </row>
    <row r="743" spans="1:14" ht="40.35" customHeight="1" thickBot="1" x14ac:dyDescent="0.25">
      <c r="A743" s="8"/>
      <c r="B743" s="8"/>
      <c r="C743" s="8"/>
      <c r="D743" s="60" t="s">
        <v>1564</v>
      </c>
      <c r="E743" s="60"/>
      <c r="F743" s="60"/>
      <c r="G743" s="60"/>
      <c r="H743" s="60"/>
      <c r="I743" s="60"/>
      <c r="J743" s="60"/>
      <c r="K743" s="60"/>
      <c r="L743" s="60"/>
      <c r="M743" s="60"/>
      <c r="N743" s="8"/>
    </row>
    <row r="744" spans="1:14" ht="15.4" customHeight="1" thickBot="1" x14ac:dyDescent="0.25">
      <c r="A744" s="8"/>
      <c r="B744" s="8"/>
      <c r="C744" s="8"/>
      <c r="D744" s="8"/>
      <c r="E744" s="23"/>
      <c r="F744" s="25" t="s">
        <v>1565</v>
      </c>
      <c r="G744" s="25" t="s">
        <v>1566</v>
      </c>
      <c r="H744" s="25" t="s">
        <v>1567</v>
      </c>
      <c r="I744" s="25" t="s">
        <v>1568</v>
      </c>
      <c r="J744" s="25" t="s">
        <v>1569</v>
      </c>
      <c r="K744" s="25" t="s">
        <v>1570</v>
      </c>
      <c r="L744" s="8"/>
      <c r="M744" s="8"/>
      <c r="N744" s="8"/>
    </row>
    <row r="745" spans="1:14" ht="15.4" customHeight="1" thickBot="1" x14ac:dyDescent="0.25">
      <c r="A745" s="8"/>
      <c r="B745" s="8"/>
      <c r="C745" s="8"/>
      <c r="D745" s="26"/>
      <c r="E745" s="27"/>
      <c r="F745" s="28">
        <v>1</v>
      </c>
      <c r="G745" s="29"/>
      <c r="H745" s="29"/>
      <c r="I745" s="29"/>
      <c r="J745" s="31">
        <f>ROUND(F745,2)</f>
        <v>1</v>
      </c>
      <c r="K745" s="33">
        <f>SUM(J745:J745)</f>
        <v>1</v>
      </c>
      <c r="L745" s="8"/>
      <c r="M745" s="8"/>
      <c r="N745" s="8"/>
    </row>
    <row r="746" spans="1:14" ht="24.75" customHeight="1" thickBot="1" x14ac:dyDescent="0.25">
      <c r="A746" s="12" t="s">
        <v>1571</v>
      </c>
      <c r="B746" s="6" t="s">
        <v>1572</v>
      </c>
      <c r="C746" s="6" t="s">
        <v>1573</v>
      </c>
      <c r="D746" s="60" t="s">
        <v>1574</v>
      </c>
      <c r="E746" s="60"/>
      <c r="F746" s="60"/>
      <c r="G746" s="60"/>
      <c r="H746" s="60"/>
      <c r="I746" s="60"/>
      <c r="J746" s="60"/>
      <c r="K746" s="22">
        <f>SUM(K749:K749)</f>
        <v>1</v>
      </c>
      <c r="L746" s="22">
        <f>ROUND(654.7*(1+M2/100),2)</f>
        <v>654.70000000000005</v>
      </c>
      <c r="M746" s="22">
        <f>ROUND(K746*L746,2)</f>
        <v>654.70000000000005</v>
      </c>
      <c r="N746" s="8"/>
    </row>
    <row r="747" spans="1:14" ht="21.6" customHeight="1" thickBot="1" x14ac:dyDescent="0.25">
      <c r="A747" s="8"/>
      <c r="B747" s="8"/>
      <c r="C747" s="8"/>
      <c r="D747" s="60" t="s">
        <v>1575</v>
      </c>
      <c r="E747" s="60"/>
      <c r="F747" s="60"/>
      <c r="G747" s="60"/>
      <c r="H747" s="60"/>
      <c r="I747" s="60"/>
      <c r="J747" s="60"/>
      <c r="K747" s="60"/>
      <c r="L747" s="60"/>
      <c r="M747" s="60"/>
      <c r="N747" s="8"/>
    </row>
    <row r="748" spans="1:14" ht="15.4" customHeight="1" thickBot="1" x14ac:dyDescent="0.25">
      <c r="A748" s="8"/>
      <c r="B748" s="8"/>
      <c r="C748" s="8"/>
      <c r="D748" s="8"/>
      <c r="E748" s="23"/>
      <c r="F748" s="25" t="s">
        <v>1576</v>
      </c>
      <c r="G748" s="25" t="s">
        <v>1577</v>
      </c>
      <c r="H748" s="25" t="s">
        <v>1578</v>
      </c>
      <c r="I748" s="25" t="s">
        <v>1579</v>
      </c>
      <c r="J748" s="25" t="s">
        <v>1580</v>
      </c>
      <c r="K748" s="25" t="s">
        <v>1581</v>
      </c>
      <c r="L748" s="8"/>
      <c r="M748" s="8"/>
      <c r="N748" s="8"/>
    </row>
    <row r="749" spans="1:14" ht="30.95" customHeight="1" thickBot="1" x14ac:dyDescent="0.25">
      <c r="A749" s="8"/>
      <c r="B749" s="8"/>
      <c r="C749" s="8"/>
      <c r="D749" s="26"/>
      <c r="E749" s="27" t="s">
        <v>1582</v>
      </c>
      <c r="F749" s="28">
        <v>1</v>
      </c>
      <c r="G749" s="29"/>
      <c r="H749" s="29"/>
      <c r="I749" s="29"/>
      <c r="J749" s="31">
        <f>ROUND(F749,2)</f>
        <v>1</v>
      </c>
      <c r="K749" s="33">
        <f>SUM(J749:J749)</f>
        <v>1</v>
      </c>
      <c r="L749" s="8"/>
      <c r="M749" s="8"/>
      <c r="N749" s="8"/>
    </row>
    <row r="750" spans="1:14" ht="15.4" customHeight="1" thickBot="1" x14ac:dyDescent="0.25">
      <c r="A750" s="12" t="s">
        <v>1583</v>
      </c>
      <c r="B750" s="6" t="s">
        <v>1584</v>
      </c>
      <c r="C750" s="6" t="s">
        <v>1585</v>
      </c>
      <c r="D750" s="60" t="s">
        <v>1586</v>
      </c>
      <c r="E750" s="60"/>
      <c r="F750" s="60"/>
      <c r="G750" s="60"/>
      <c r="H750" s="60"/>
      <c r="I750" s="60"/>
      <c r="J750" s="60"/>
      <c r="K750" s="22">
        <f>SUM(K753:K754)</f>
        <v>1</v>
      </c>
      <c r="L750" s="22">
        <f>ROUND(654.74*(1+M2/100),2)</f>
        <v>654.74</v>
      </c>
      <c r="M750" s="22">
        <f>ROUND(K750*L750,2)</f>
        <v>654.74</v>
      </c>
      <c r="N750" s="8"/>
    </row>
    <row r="751" spans="1:14" ht="21.6" customHeight="1" thickBot="1" x14ac:dyDescent="0.25">
      <c r="A751" s="8"/>
      <c r="B751" s="8"/>
      <c r="C751" s="8"/>
      <c r="D751" s="60" t="s">
        <v>1587</v>
      </c>
      <c r="E751" s="60"/>
      <c r="F751" s="60"/>
      <c r="G751" s="60"/>
      <c r="H751" s="60"/>
      <c r="I751" s="60"/>
      <c r="J751" s="60"/>
      <c r="K751" s="60"/>
      <c r="L751" s="60"/>
      <c r="M751" s="60"/>
      <c r="N751" s="8"/>
    </row>
    <row r="752" spans="1:14" ht="15.4" customHeight="1" thickBot="1" x14ac:dyDescent="0.25">
      <c r="A752" s="8"/>
      <c r="B752" s="8"/>
      <c r="C752" s="8"/>
      <c r="D752" s="8"/>
      <c r="E752" s="23"/>
      <c r="F752" s="25" t="s">
        <v>1588</v>
      </c>
      <c r="G752" s="25" t="s">
        <v>1589</v>
      </c>
      <c r="H752" s="25" t="s">
        <v>1590</v>
      </c>
      <c r="I752" s="25" t="s">
        <v>1591</v>
      </c>
      <c r="J752" s="25" t="s">
        <v>1592</v>
      </c>
      <c r="K752" s="25" t="s">
        <v>1593</v>
      </c>
      <c r="L752" s="8"/>
      <c r="M752" s="8"/>
      <c r="N752" s="8"/>
    </row>
    <row r="753" spans="1:14" ht="15.4" customHeight="1" thickBot="1" x14ac:dyDescent="0.25">
      <c r="A753" s="8"/>
      <c r="B753" s="8"/>
      <c r="C753" s="8"/>
      <c r="D753" s="26"/>
      <c r="E753" s="27" t="s">
        <v>1594</v>
      </c>
      <c r="F753" s="28"/>
      <c r="G753" s="29"/>
      <c r="H753" s="29"/>
      <c r="I753" s="29"/>
      <c r="J753" s="34" t="s">
        <v>1595</v>
      </c>
      <c r="K753" s="35"/>
      <c r="L753" s="8"/>
      <c r="M753" s="8"/>
      <c r="N753" s="8"/>
    </row>
    <row r="754" spans="1:14" ht="15.4" customHeight="1" thickBot="1" x14ac:dyDescent="0.25">
      <c r="A754" s="8"/>
      <c r="B754" s="8"/>
      <c r="C754" s="8"/>
      <c r="D754" s="26"/>
      <c r="E754" s="6" t="s">
        <v>1596</v>
      </c>
      <c r="F754" s="4">
        <v>1</v>
      </c>
      <c r="G754" s="22"/>
      <c r="H754" s="22"/>
      <c r="I754" s="22"/>
      <c r="J754" s="30">
        <f>ROUND(F754,2)</f>
        <v>1</v>
      </c>
      <c r="K754" s="32">
        <f>SUM(J753:J754)</f>
        <v>1</v>
      </c>
      <c r="L754" s="8"/>
      <c r="M754" s="8"/>
      <c r="N754" s="8"/>
    </row>
    <row r="755" spans="1:14" ht="15.4" customHeight="1" thickBot="1" x14ac:dyDescent="0.25">
      <c r="A755" s="12" t="s">
        <v>1597</v>
      </c>
      <c r="B755" s="6" t="s">
        <v>1598</v>
      </c>
      <c r="C755" s="6" t="s">
        <v>1599</v>
      </c>
      <c r="D755" s="60" t="s">
        <v>1600</v>
      </c>
      <c r="E755" s="60"/>
      <c r="F755" s="60"/>
      <c r="G755" s="60"/>
      <c r="H755" s="60"/>
      <c r="I755" s="60"/>
      <c r="J755" s="60"/>
      <c r="K755" s="22">
        <f>SUM(K758:K759)</f>
        <v>2</v>
      </c>
      <c r="L755" s="22">
        <f>ROUND(1428.07*(1+M2/100),2)</f>
        <v>1428.07</v>
      </c>
      <c r="M755" s="22">
        <f>ROUND(K755*L755,2)</f>
        <v>2856.14</v>
      </c>
      <c r="N755" s="8"/>
    </row>
    <row r="756" spans="1:14" ht="30.95" customHeight="1" thickBot="1" x14ac:dyDescent="0.25">
      <c r="A756" s="8"/>
      <c r="B756" s="8"/>
      <c r="C756" s="8"/>
      <c r="D756" s="60" t="s">
        <v>1601</v>
      </c>
      <c r="E756" s="60"/>
      <c r="F756" s="60"/>
      <c r="G756" s="60"/>
      <c r="H756" s="60"/>
      <c r="I756" s="60"/>
      <c r="J756" s="60"/>
      <c r="K756" s="60"/>
      <c r="L756" s="60"/>
      <c r="M756" s="60"/>
      <c r="N756" s="8"/>
    </row>
    <row r="757" spans="1:14" ht="15.4" customHeight="1" thickBot="1" x14ac:dyDescent="0.25">
      <c r="A757" s="8"/>
      <c r="B757" s="8"/>
      <c r="C757" s="8"/>
      <c r="D757" s="8"/>
      <c r="E757" s="23"/>
      <c r="F757" s="25" t="s">
        <v>1602</v>
      </c>
      <c r="G757" s="25" t="s">
        <v>1603</v>
      </c>
      <c r="H757" s="25" t="s">
        <v>1604</v>
      </c>
      <c r="I757" s="25" t="s">
        <v>1605</v>
      </c>
      <c r="J757" s="25" t="s">
        <v>1606</v>
      </c>
      <c r="K757" s="25" t="s">
        <v>1607</v>
      </c>
      <c r="L757" s="8"/>
      <c r="M757" s="8"/>
      <c r="N757" s="8"/>
    </row>
    <row r="758" spans="1:14" ht="15.4" customHeight="1" thickBot="1" x14ac:dyDescent="0.25">
      <c r="A758" s="8"/>
      <c r="B758" s="8"/>
      <c r="C758" s="8"/>
      <c r="D758" s="26"/>
      <c r="E758" s="27" t="s">
        <v>1608</v>
      </c>
      <c r="F758" s="28"/>
      <c r="G758" s="29"/>
      <c r="H758" s="29"/>
      <c r="I758" s="29"/>
      <c r="J758" s="34" t="s">
        <v>1609</v>
      </c>
      <c r="K758" s="35"/>
      <c r="L758" s="8"/>
      <c r="M758" s="8"/>
      <c r="N758" s="8"/>
    </row>
    <row r="759" spans="1:14" ht="21.6" customHeight="1" thickBot="1" x14ac:dyDescent="0.25">
      <c r="A759" s="8"/>
      <c r="B759" s="8"/>
      <c r="C759" s="8"/>
      <c r="D759" s="26"/>
      <c r="E759" s="6" t="s">
        <v>1610</v>
      </c>
      <c r="F759" s="4">
        <v>2</v>
      </c>
      <c r="G759" s="22"/>
      <c r="H759" s="22"/>
      <c r="I759" s="22"/>
      <c r="J759" s="30">
        <f>ROUND(F759,2)</f>
        <v>2</v>
      </c>
      <c r="K759" s="32">
        <f>SUM(J758:J759)</f>
        <v>2</v>
      </c>
      <c r="L759" s="8"/>
      <c r="M759" s="8"/>
      <c r="N759" s="8"/>
    </row>
    <row r="760" spans="1:14" ht="15.4" customHeight="1" thickBot="1" x14ac:dyDescent="0.25">
      <c r="A760" s="12" t="s">
        <v>1611</v>
      </c>
      <c r="B760" s="6" t="s">
        <v>1612</v>
      </c>
      <c r="C760" s="6" t="s">
        <v>1613</v>
      </c>
      <c r="D760" s="60" t="s">
        <v>1614</v>
      </c>
      <c r="E760" s="60"/>
      <c r="F760" s="60"/>
      <c r="G760" s="60"/>
      <c r="H760" s="60"/>
      <c r="I760" s="60"/>
      <c r="J760" s="60"/>
      <c r="K760" s="22">
        <f>SUM(K763:K763)</f>
        <v>1</v>
      </c>
      <c r="L760" s="22">
        <f>ROUND(666.36*(1+M2/100),2)</f>
        <v>666.36</v>
      </c>
      <c r="M760" s="22">
        <f>ROUND(K760*L760,2)</f>
        <v>666.36</v>
      </c>
      <c r="N760" s="8"/>
    </row>
    <row r="761" spans="1:14" ht="30.95" customHeight="1" thickBot="1" x14ac:dyDescent="0.25">
      <c r="A761" s="8"/>
      <c r="B761" s="8"/>
      <c r="C761" s="8"/>
      <c r="D761" s="60" t="s">
        <v>1615</v>
      </c>
      <c r="E761" s="60"/>
      <c r="F761" s="60"/>
      <c r="G761" s="60"/>
      <c r="H761" s="60"/>
      <c r="I761" s="60"/>
      <c r="J761" s="60"/>
      <c r="K761" s="60"/>
      <c r="L761" s="60"/>
      <c r="M761" s="60"/>
      <c r="N761" s="8"/>
    </row>
    <row r="762" spans="1:14" ht="15.4" customHeight="1" thickBot="1" x14ac:dyDescent="0.25">
      <c r="A762" s="8"/>
      <c r="B762" s="8"/>
      <c r="C762" s="8"/>
      <c r="D762" s="8"/>
      <c r="E762" s="23"/>
      <c r="F762" s="25" t="s">
        <v>1616</v>
      </c>
      <c r="G762" s="25" t="s">
        <v>1617</v>
      </c>
      <c r="H762" s="25" t="s">
        <v>1618</v>
      </c>
      <c r="I762" s="25" t="s">
        <v>1619</v>
      </c>
      <c r="J762" s="25" t="s">
        <v>1620</v>
      </c>
      <c r="K762" s="25" t="s">
        <v>1621</v>
      </c>
      <c r="L762" s="8"/>
      <c r="M762" s="8"/>
      <c r="N762" s="8"/>
    </row>
    <row r="763" spans="1:14" ht="15.4" customHeight="1" thickBot="1" x14ac:dyDescent="0.25">
      <c r="A763" s="8"/>
      <c r="B763" s="8"/>
      <c r="C763" s="8"/>
      <c r="D763" s="26"/>
      <c r="E763" s="27" t="s">
        <v>1622</v>
      </c>
      <c r="F763" s="28">
        <v>1</v>
      </c>
      <c r="G763" s="29"/>
      <c r="H763" s="29"/>
      <c r="I763" s="29"/>
      <c r="J763" s="31">
        <f>ROUND(F763,2)</f>
        <v>1</v>
      </c>
      <c r="K763" s="33">
        <f>SUM(J763:J763)</f>
        <v>1</v>
      </c>
      <c r="L763" s="8"/>
      <c r="M763" s="8"/>
      <c r="N763" s="8"/>
    </row>
    <row r="764" spans="1:14" ht="15.4" customHeight="1" thickBot="1" x14ac:dyDescent="0.25">
      <c r="A764" s="12" t="s">
        <v>1623</v>
      </c>
      <c r="B764" s="6" t="s">
        <v>1624</v>
      </c>
      <c r="C764" s="6" t="s">
        <v>1625</v>
      </c>
      <c r="D764" s="60" t="s">
        <v>1626</v>
      </c>
      <c r="E764" s="60"/>
      <c r="F764" s="60"/>
      <c r="G764" s="60"/>
      <c r="H764" s="60"/>
      <c r="I764" s="60"/>
      <c r="J764" s="60"/>
      <c r="K764" s="22">
        <f>SUM(K767:K767)</f>
        <v>2</v>
      </c>
      <c r="L764" s="22">
        <f>ROUND(142.94*(1+M2/100),2)</f>
        <v>142.94</v>
      </c>
      <c r="M764" s="22">
        <f>ROUND(K764*L764,2)</f>
        <v>285.88</v>
      </c>
      <c r="N764" s="8"/>
    </row>
    <row r="765" spans="1:14" ht="12.2" customHeight="1" thickBot="1" x14ac:dyDescent="0.25">
      <c r="A765" s="8"/>
      <c r="B765" s="8"/>
      <c r="C765" s="8"/>
      <c r="D765" s="60" t="s">
        <v>1627</v>
      </c>
      <c r="E765" s="60"/>
      <c r="F765" s="60"/>
      <c r="G765" s="60"/>
      <c r="H765" s="60"/>
      <c r="I765" s="60"/>
      <c r="J765" s="60"/>
      <c r="K765" s="60"/>
      <c r="L765" s="60"/>
      <c r="M765" s="60"/>
      <c r="N765" s="8"/>
    </row>
    <row r="766" spans="1:14" ht="15.4" customHeight="1" thickBot="1" x14ac:dyDescent="0.25">
      <c r="A766" s="8"/>
      <c r="B766" s="8"/>
      <c r="C766" s="8"/>
      <c r="D766" s="8"/>
      <c r="E766" s="23"/>
      <c r="F766" s="25" t="s">
        <v>1628</v>
      </c>
      <c r="G766" s="25" t="s">
        <v>1629</v>
      </c>
      <c r="H766" s="25" t="s">
        <v>1630</v>
      </c>
      <c r="I766" s="25" t="s">
        <v>1631</v>
      </c>
      <c r="J766" s="25" t="s">
        <v>1632</v>
      </c>
      <c r="K766" s="25" t="s">
        <v>1633</v>
      </c>
      <c r="L766" s="8"/>
      <c r="M766" s="8"/>
      <c r="N766" s="8"/>
    </row>
    <row r="767" spans="1:14" ht="15.4" customHeight="1" thickBot="1" x14ac:dyDescent="0.25">
      <c r="A767" s="8"/>
      <c r="B767" s="8"/>
      <c r="C767" s="8"/>
      <c r="D767" s="26"/>
      <c r="E767" s="27" t="s">
        <v>1634</v>
      </c>
      <c r="F767" s="28">
        <v>2</v>
      </c>
      <c r="G767" s="29"/>
      <c r="H767" s="29"/>
      <c r="I767" s="29"/>
      <c r="J767" s="31">
        <f>ROUND(F767,2)</f>
        <v>2</v>
      </c>
      <c r="K767" s="33">
        <f>SUM(J767:J767)</f>
        <v>2</v>
      </c>
      <c r="L767" s="8"/>
      <c r="M767" s="8"/>
      <c r="N767" s="8"/>
    </row>
    <row r="768" spans="1:14" ht="15.4" customHeight="1" thickBot="1" x14ac:dyDescent="0.25">
      <c r="A768" s="12" t="s">
        <v>1635</v>
      </c>
      <c r="B768" s="6" t="s">
        <v>1636</v>
      </c>
      <c r="C768" s="6" t="s">
        <v>1637</v>
      </c>
      <c r="D768" s="60" t="s">
        <v>1638</v>
      </c>
      <c r="E768" s="60"/>
      <c r="F768" s="60"/>
      <c r="G768" s="60"/>
      <c r="H768" s="60"/>
      <c r="I768" s="60"/>
      <c r="J768" s="60"/>
      <c r="K768" s="22">
        <f>SUM(K771:K772)</f>
        <v>2</v>
      </c>
      <c r="L768" s="22">
        <f>ROUND(428.52*(1+M2/100),2)</f>
        <v>428.52</v>
      </c>
      <c r="M768" s="22">
        <f>ROUND(K768*L768,2)</f>
        <v>857.04</v>
      </c>
      <c r="N768" s="8"/>
    </row>
    <row r="769" spans="1:14" ht="30.95" customHeight="1" thickBot="1" x14ac:dyDescent="0.25">
      <c r="A769" s="8"/>
      <c r="B769" s="8"/>
      <c r="C769" s="8"/>
      <c r="D769" s="60" t="s">
        <v>1639</v>
      </c>
      <c r="E769" s="60"/>
      <c r="F769" s="60"/>
      <c r="G769" s="60"/>
      <c r="H769" s="60"/>
      <c r="I769" s="60"/>
      <c r="J769" s="60"/>
      <c r="K769" s="60"/>
      <c r="L769" s="60"/>
      <c r="M769" s="60"/>
      <c r="N769" s="8"/>
    </row>
    <row r="770" spans="1:14" ht="15.4" customHeight="1" thickBot="1" x14ac:dyDescent="0.25">
      <c r="A770" s="8"/>
      <c r="B770" s="8"/>
      <c r="C770" s="8"/>
      <c r="D770" s="8"/>
      <c r="E770" s="23"/>
      <c r="F770" s="25" t="s">
        <v>1640</v>
      </c>
      <c r="G770" s="25" t="s">
        <v>1641</v>
      </c>
      <c r="H770" s="25" t="s">
        <v>1642</v>
      </c>
      <c r="I770" s="25" t="s">
        <v>1643</v>
      </c>
      <c r="J770" s="25" t="s">
        <v>1644</v>
      </c>
      <c r="K770" s="25" t="s">
        <v>1645</v>
      </c>
      <c r="L770" s="8"/>
      <c r="M770" s="8"/>
      <c r="N770" s="8"/>
    </row>
    <row r="771" spans="1:14" ht="15.4" customHeight="1" thickBot="1" x14ac:dyDescent="0.25">
      <c r="A771" s="8"/>
      <c r="B771" s="8"/>
      <c r="C771" s="8"/>
      <c r="D771" s="26"/>
      <c r="E771" s="27" t="s">
        <v>1646</v>
      </c>
      <c r="F771" s="28">
        <v>1</v>
      </c>
      <c r="G771" s="29"/>
      <c r="H771" s="29"/>
      <c r="I771" s="29"/>
      <c r="J771" s="31">
        <f>ROUND(F771,2)</f>
        <v>1</v>
      </c>
      <c r="K771" s="35"/>
      <c r="L771" s="8"/>
      <c r="M771" s="8"/>
      <c r="N771" s="8"/>
    </row>
    <row r="772" spans="1:14" ht="21.6" customHeight="1" thickBot="1" x14ac:dyDescent="0.25">
      <c r="A772" s="8"/>
      <c r="B772" s="8"/>
      <c r="C772" s="8"/>
      <c r="D772" s="26"/>
      <c r="E772" s="6" t="s">
        <v>1647</v>
      </c>
      <c r="F772" s="4">
        <v>1</v>
      </c>
      <c r="G772" s="22"/>
      <c r="H772" s="22"/>
      <c r="I772" s="22"/>
      <c r="J772" s="30">
        <f>ROUND(F772,2)</f>
        <v>1</v>
      </c>
      <c r="K772" s="32">
        <f>SUM(J771:J772)</f>
        <v>2</v>
      </c>
      <c r="L772" s="8"/>
      <c r="M772" s="8"/>
      <c r="N772" s="8"/>
    </row>
    <row r="773" spans="1:14" ht="15.4" customHeight="1" thickBot="1" x14ac:dyDescent="0.25">
      <c r="A773" s="12" t="s">
        <v>1648</v>
      </c>
      <c r="B773" s="6" t="s">
        <v>1649</v>
      </c>
      <c r="C773" s="6" t="s">
        <v>1650</v>
      </c>
      <c r="D773" s="60" t="s">
        <v>1651</v>
      </c>
      <c r="E773" s="60"/>
      <c r="F773" s="60"/>
      <c r="G773" s="60"/>
      <c r="H773" s="60"/>
      <c r="I773" s="60"/>
      <c r="J773" s="60"/>
      <c r="K773" s="22">
        <f>SUM(K776:K776)</f>
        <v>15</v>
      </c>
      <c r="L773" s="22">
        <f>ROUND(220.13*(1+M2/100),2)</f>
        <v>220.13</v>
      </c>
      <c r="M773" s="22">
        <f>ROUND(K773*L773,2)</f>
        <v>3301.95</v>
      </c>
      <c r="N773" s="8"/>
    </row>
    <row r="774" spans="1:14" ht="77.849999999999994" customHeight="1" thickBot="1" x14ac:dyDescent="0.25">
      <c r="A774" s="8"/>
      <c r="B774" s="8"/>
      <c r="C774" s="8"/>
      <c r="D774" s="60" t="s">
        <v>1652</v>
      </c>
      <c r="E774" s="60"/>
      <c r="F774" s="60"/>
      <c r="G774" s="60"/>
      <c r="H774" s="60"/>
      <c r="I774" s="60"/>
      <c r="J774" s="60"/>
      <c r="K774" s="60"/>
      <c r="L774" s="60"/>
      <c r="M774" s="60"/>
      <c r="N774" s="8"/>
    </row>
    <row r="775" spans="1:14" ht="15.4" customHeight="1" thickBot="1" x14ac:dyDescent="0.25">
      <c r="A775" s="8"/>
      <c r="B775" s="8"/>
      <c r="C775" s="8"/>
      <c r="D775" s="8"/>
      <c r="E775" s="23"/>
      <c r="F775" s="25" t="s">
        <v>1653</v>
      </c>
      <c r="G775" s="25" t="s">
        <v>1654</v>
      </c>
      <c r="H775" s="25" t="s">
        <v>1655</v>
      </c>
      <c r="I775" s="25" t="s">
        <v>1656</v>
      </c>
      <c r="J775" s="25" t="s">
        <v>1657</v>
      </c>
      <c r="K775" s="25" t="s">
        <v>1658</v>
      </c>
      <c r="L775" s="8"/>
      <c r="M775" s="8"/>
      <c r="N775" s="8"/>
    </row>
    <row r="776" spans="1:14" ht="21.6" customHeight="1" thickBot="1" x14ac:dyDescent="0.25">
      <c r="A776" s="8"/>
      <c r="B776" s="8"/>
      <c r="C776" s="8"/>
      <c r="D776" s="26"/>
      <c r="E776" s="27" t="s">
        <v>1659</v>
      </c>
      <c r="F776" s="28">
        <v>5</v>
      </c>
      <c r="G776" s="29">
        <v>3</v>
      </c>
      <c r="H776" s="29"/>
      <c r="I776" s="29"/>
      <c r="J776" s="31">
        <f>ROUND(F776*G776,2)</f>
        <v>15</v>
      </c>
      <c r="K776" s="33">
        <f>SUM(J776:J776)</f>
        <v>15</v>
      </c>
      <c r="L776" s="8"/>
      <c r="M776" s="8"/>
      <c r="N776" s="8"/>
    </row>
    <row r="777" spans="1:14" ht="15.4" customHeight="1" thickBot="1" x14ac:dyDescent="0.25">
      <c r="A777" s="36"/>
      <c r="B777" s="36"/>
      <c r="C777" s="36"/>
      <c r="D777" s="50" t="s">
        <v>1660</v>
      </c>
      <c r="E777" s="51"/>
      <c r="F777" s="51"/>
      <c r="G777" s="51"/>
      <c r="H777" s="51"/>
      <c r="I777" s="51"/>
      <c r="J777" s="51"/>
      <c r="K777" s="51"/>
      <c r="L777" s="52">
        <f>M649+M658+M667+M676+M685+M689+M694+M704+M715+M722+M726+M742+M746+M750+M755+M760+M764+M768+M773</f>
        <v>51576.099999999977</v>
      </c>
      <c r="M777" s="52">
        <f>ROUND(L777,2)</f>
        <v>51576.1</v>
      </c>
      <c r="N777" s="8"/>
    </row>
    <row r="778" spans="1:14" ht="15.4" customHeight="1" thickBot="1" x14ac:dyDescent="0.25">
      <c r="A778" s="47" t="s">
        <v>1661</v>
      </c>
      <c r="B778" s="47" t="s">
        <v>1662</v>
      </c>
      <c r="C778" s="48"/>
      <c r="D778" s="62" t="s">
        <v>1663</v>
      </c>
      <c r="E778" s="62"/>
      <c r="F778" s="62"/>
      <c r="G778" s="62"/>
      <c r="H778" s="62"/>
      <c r="I778" s="62"/>
      <c r="J778" s="62"/>
      <c r="K778" s="48"/>
      <c r="L778" s="49">
        <f>L844</f>
        <v>7928.2300000000014</v>
      </c>
      <c r="M778" s="49">
        <f>ROUND(L778,2)</f>
        <v>7928.23</v>
      </c>
      <c r="N778" s="8"/>
    </row>
    <row r="779" spans="1:14" ht="15.4" customHeight="1" thickBot="1" x14ac:dyDescent="0.25">
      <c r="A779" s="12" t="s">
        <v>1664</v>
      </c>
      <c r="B779" s="6" t="s">
        <v>1665</v>
      </c>
      <c r="C779" s="6" t="s">
        <v>1666</v>
      </c>
      <c r="D779" s="60" t="s">
        <v>1667</v>
      </c>
      <c r="E779" s="60"/>
      <c r="F779" s="60"/>
      <c r="G779" s="60"/>
      <c r="H779" s="60"/>
      <c r="I779" s="60"/>
      <c r="J779" s="60"/>
      <c r="K779" s="22">
        <f>SUM(K782:K782)</f>
        <v>1</v>
      </c>
      <c r="L779" s="22">
        <f>ROUND(442.08*(1+M2/100),2)</f>
        <v>442.08</v>
      </c>
      <c r="M779" s="22">
        <f>ROUND(K779*L779,2)</f>
        <v>442.08</v>
      </c>
      <c r="N779" s="8"/>
    </row>
    <row r="780" spans="1:14" ht="59.1" customHeight="1" thickBot="1" x14ac:dyDescent="0.25">
      <c r="A780" s="8"/>
      <c r="B780" s="8"/>
      <c r="C780" s="8"/>
      <c r="D780" s="60" t="s">
        <v>1668</v>
      </c>
      <c r="E780" s="60"/>
      <c r="F780" s="60"/>
      <c r="G780" s="60"/>
      <c r="H780" s="60"/>
      <c r="I780" s="60"/>
      <c r="J780" s="60"/>
      <c r="K780" s="60"/>
      <c r="L780" s="60"/>
      <c r="M780" s="60"/>
      <c r="N780" s="8"/>
    </row>
    <row r="781" spans="1:14" ht="15.4" customHeight="1" thickBot="1" x14ac:dyDescent="0.25">
      <c r="A781" s="8"/>
      <c r="B781" s="8"/>
      <c r="C781" s="8"/>
      <c r="D781" s="8"/>
      <c r="E781" s="23"/>
      <c r="F781" s="25" t="s">
        <v>1669</v>
      </c>
      <c r="G781" s="25" t="s">
        <v>1670</v>
      </c>
      <c r="H781" s="25" t="s">
        <v>1671</v>
      </c>
      <c r="I781" s="25" t="s">
        <v>1672</v>
      </c>
      <c r="J781" s="25" t="s">
        <v>1673</v>
      </c>
      <c r="K781" s="25" t="s">
        <v>1674</v>
      </c>
      <c r="L781" s="8"/>
      <c r="M781" s="8"/>
      <c r="N781" s="8"/>
    </row>
    <row r="782" spans="1:14" ht="15.4" customHeight="1" thickBot="1" x14ac:dyDescent="0.25">
      <c r="A782" s="8"/>
      <c r="B782" s="8"/>
      <c r="C782" s="8"/>
      <c r="D782" s="26"/>
      <c r="E782" s="27" t="s">
        <v>1675</v>
      </c>
      <c r="F782" s="28">
        <v>1</v>
      </c>
      <c r="G782" s="29"/>
      <c r="H782" s="29"/>
      <c r="I782" s="29"/>
      <c r="J782" s="31">
        <f>ROUND(F782,2)</f>
        <v>1</v>
      </c>
      <c r="K782" s="33">
        <f>SUM(J782:J782)</f>
        <v>1</v>
      </c>
      <c r="L782" s="8"/>
      <c r="M782" s="8"/>
      <c r="N782" s="8"/>
    </row>
    <row r="783" spans="1:14" ht="24.75" customHeight="1" thickBot="1" x14ac:dyDescent="0.25">
      <c r="A783" s="12" t="s">
        <v>1676</v>
      </c>
      <c r="B783" s="6" t="s">
        <v>1677</v>
      </c>
      <c r="C783" s="6" t="s">
        <v>1678</v>
      </c>
      <c r="D783" s="60" t="s">
        <v>1679</v>
      </c>
      <c r="E783" s="60"/>
      <c r="F783" s="60"/>
      <c r="G783" s="60"/>
      <c r="H783" s="60"/>
      <c r="I783" s="60"/>
      <c r="J783" s="60"/>
      <c r="K783" s="22">
        <f>SUM(K786:K786)</f>
        <v>5</v>
      </c>
      <c r="L783" s="22">
        <f>ROUND(315.81*(1+M2/100),2)</f>
        <v>315.81</v>
      </c>
      <c r="M783" s="22">
        <f>ROUND(K783*L783,2)</f>
        <v>1579.05</v>
      </c>
      <c r="N783" s="8"/>
    </row>
    <row r="784" spans="1:14" ht="21.6" customHeight="1" thickBot="1" x14ac:dyDescent="0.25">
      <c r="A784" s="8"/>
      <c r="B784" s="8"/>
      <c r="C784" s="8"/>
      <c r="D784" s="60" t="s">
        <v>1680</v>
      </c>
      <c r="E784" s="60"/>
      <c r="F784" s="60"/>
      <c r="G784" s="60"/>
      <c r="H784" s="60"/>
      <c r="I784" s="60"/>
      <c r="J784" s="60"/>
      <c r="K784" s="60"/>
      <c r="L784" s="60"/>
      <c r="M784" s="60"/>
      <c r="N784" s="8"/>
    </row>
    <row r="785" spans="1:14" ht="15.4" customHeight="1" thickBot="1" x14ac:dyDescent="0.25">
      <c r="A785" s="8"/>
      <c r="B785" s="8"/>
      <c r="C785" s="8"/>
      <c r="D785" s="8"/>
      <c r="E785" s="23"/>
      <c r="F785" s="25" t="s">
        <v>1681</v>
      </c>
      <c r="G785" s="25" t="s">
        <v>1682</v>
      </c>
      <c r="H785" s="25" t="s">
        <v>1683</v>
      </c>
      <c r="I785" s="25" t="s">
        <v>1684</v>
      </c>
      <c r="J785" s="25" t="s">
        <v>1685</v>
      </c>
      <c r="K785" s="25" t="s">
        <v>1686</v>
      </c>
      <c r="L785" s="8"/>
      <c r="M785" s="8"/>
      <c r="N785" s="8"/>
    </row>
    <row r="786" spans="1:14" ht="15.4" customHeight="1" thickBot="1" x14ac:dyDescent="0.25">
      <c r="A786" s="8"/>
      <c r="B786" s="8"/>
      <c r="C786" s="8"/>
      <c r="D786" s="26"/>
      <c r="E786" s="27"/>
      <c r="F786" s="28">
        <v>5</v>
      </c>
      <c r="G786" s="29"/>
      <c r="H786" s="29"/>
      <c r="I786" s="29"/>
      <c r="J786" s="31">
        <f>ROUND(F786,2)</f>
        <v>5</v>
      </c>
      <c r="K786" s="33">
        <f>SUM(J786:J786)</f>
        <v>5</v>
      </c>
      <c r="L786" s="8"/>
      <c r="M786" s="8"/>
      <c r="N786" s="8"/>
    </row>
    <row r="787" spans="1:14" ht="15.4" customHeight="1" thickBot="1" x14ac:dyDescent="0.25">
      <c r="A787" s="12" t="s">
        <v>1687</v>
      </c>
      <c r="B787" s="6" t="s">
        <v>1688</v>
      </c>
      <c r="C787" s="6" t="s">
        <v>1689</v>
      </c>
      <c r="D787" s="60" t="s">
        <v>1690</v>
      </c>
      <c r="E787" s="60"/>
      <c r="F787" s="60"/>
      <c r="G787" s="60"/>
      <c r="H787" s="60"/>
      <c r="I787" s="60"/>
      <c r="J787" s="60"/>
      <c r="K787" s="22">
        <f>SUM(K790:K792)</f>
        <v>3</v>
      </c>
      <c r="L787" s="22">
        <f>ROUND(71.45*(1+M2/100),2)</f>
        <v>71.45</v>
      </c>
      <c r="M787" s="22">
        <f>ROUND(K787*L787,2)</f>
        <v>214.35</v>
      </c>
      <c r="N787" s="8"/>
    </row>
    <row r="788" spans="1:14" ht="21.6" customHeight="1" thickBot="1" x14ac:dyDescent="0.25">
      <c r="A788" s="8"/>
      <c r="B788" s="8"/>
      <c r="C788" s="8"/>
      <c r="D788" s="60" t="s">
        <v>1691</v>
      </c>
      <c r="E788" s="60"/>
      <c r="F788" s="60"/>
      <c r="G788" s="60"/>
      <c r="H788" s="60"/>
      <c r="I788" s="60"/>
      <c r="J788" s="60"/>
      <c r="K788" s="60"/>
      <c r="L788" s="60"/>
      <c r="M788" s="60"/>
      <c r="N788" s="8"/>
    </row>
    <row r="789" spans="1:14" ht="15.4" customHeight="1" thickBot="1" x14ac:dyDescent="0.25">
      <c r="A789" s="8"/>
      <c r="B789" s="8"/>
      <c r="C789" s="8"/>
      <c r="D789" s="8"/>
      <c r="E789" s="23"/>
      <c r="F789" s="25" t="s">
        <v>1692</v>
      </c>
      <c r="G789" s="25" t="s">
        <v>1693</v>
      </c>
      <c r="H789" s="25" t="s">
        <v>1694</v>
      </c>
      <c r="I789" s="25" t="s">
        <v>1695</v>
      </c>
      <c r="J789" s="25" t="s">
        <v>1696</v>
      </c>
      <c r="K789" s="25" t="s">
        <v>1697</v>
      </c>
      <c r="L789" s="8"/>
      <c r="M789" s="8"/>
      <c r="N789" s="8"/>
    </row>
    <row r="790" spans="1:14" ht="15.4" customHeight="1" thickBot="1" x14ac:dyDescent="0.25">
      <c r="A790" s="8"/>
      <c r="B790" s="8"/>
      <c r="C790" s="8"/>
      <c r="D790" s="26"/>
      <c r="E790" s="27" t="s">
        <v>1698</v>
      </c>
      <c r="F790" s="28">
        <v>1</v>
      </c>
      <c r="G790" s="29"/>
      <c r="H790" s="29"/>
      <c r="I790" s="29"/>
      <c r="J790" s="31">
        <f>ROUND(F790,2)</f>
        <v>1</v>
      </c>
      <c r="K790" s="35"/>
      <c r="L790" s="8"/>
      <c r="M790" s="8"/>
      <c r="N790" s="8"/>
    </row>
    <row r="791" spans="1:14" ht="15.4" customHeight="1" thickBot="1" x14ac:dyDescent="0.25">
      <c r="A791" s="8"/>
      <c r="B791" s="8"/>
      <c r="C791" s="8"/>
      <c r="D791" s="26"/>
      <c r="E791" s="6" t="s">
        <v>1699</v>
      </c>
      <c r="F791" s="4">
        <v>1</v>
      </c>
      <c r="G791" s="22"/>
      <c r="H791" s="22"/>
      <c r="I791" s="22"/>
      <c r="J791" s="30">
        <f>ROUND(F791,2)</f>
        <v>1</v>
      </c>
      <c r="K791" s="8"/>
      <c r="L791" s="8"/>
      <c r="M791" s="8"/>
      <c r="N791" s="8"/>
    </row>
    <row r="792" spans="1:14" ht="15.4" customHeight="1" thickBot="1" x14ac:dyDescent="0.25">
      <c r="A792" s="8"/>
      <c r="B792" s="8"/>
      <c r="C792" s="8"/>
      <c r="D792" s="26"/>
      <c r="E792" s="6" t="s">
        <v>1700</v>
      </c>
      <c r="F792" s="4">
        <v>1</v>
      </c>
      <c r="G792" s="22"/>
      <c r="H792" s="22"/>
      <c r="I792" s="22"/>
      <c r="J792" s="30">
        <f>ROUND(F792,2)</f>
        <v>1</v>
      </c>
      <c r="K792" s="32">
        <f>SUM(J790:J792)</f>
        <v>3</v>
      </c>
      <c r="L792" s="8"/>
      <c r="M792" s="8"/>
      <c r="N792" s="8"/>
    </row>
    <row r="793" spans="1:14" ht="15.4" customHeight="1" thickBot="1" x14ac:dyDescent="0.25">
      <c r="A793" s="12" t="s">
        <v>1701</v>
      </c>
      <c r="B793" s="6" t="s">
        <v>1702</v>
      </c>
      <c r="C793" s="6" t="s">
        <v>1703</v>
      </c>
      <c r="D793" s="60" t="s">
        <v>1704</v>
      </c>
      <c r="E793" s="60"/>
      <c r="F793" s="60"/>
      <c r="G793" s="60"/>
      <c r="H793" s="60"/>
      <c r="I793" s="60"/>
      <c r="J793" s="60"/>
      <c r="K793" s="22">
        <f>SUM(K796:K796)</f>
        <v>12</v>
      </c>
      <c r="L793" s="22">
        <f>ROUND(72.11*(1+M2/100),2)</f>
        <v>72.11</v>
      </c>
      <c r="M793" s="22">
        <f>ROUND(K793*L793,2)</f>
        <v>865.32</v>
      </c>
      <c r="N793" s="8"/>
    </row>
    <row r="794" spans="1:14" ht="40.35" customHeight="1" thickBot="1" x14ac:dyDescent="0.25">
      <c r="A794" s="8"/>
      <c r="B794" s="8"/>
      <c r="C794" s="8"/>
      <c r="D794" s="60" t="s">
        <v>1705</v>
      </c>
      <c r="E794" s="60"/>
      <c r="F794" s="60"/>
      <c r="G794" s="60"/>
      <c r="H794" s="60"/>
      <c r="I794" s="60"/>
      <c r="J794" s="60"/>
      <c r="K794" s="60"/>
      <c r="L794" s="60"/>
      <c r="M794" s="60"/>
      <c r="N794" s="8"/>
    </row>
    <row r="795" spans="1:14" ht="15.4" customHeight="1" thickBot="1" x14ac:dyDescent="0.25">
      <c r="A795" s="8"/>
      <c r="B795" s="8"/>
      <c r="C795" s="8"/>
      <c r="D795" s="8"/>
      <c r="E795" s="23"/>
      <c r="F795" s="25" t="s">
        <v>1706</v>
      </c>
      <c r="G795" s="25" t="s">
        <v>1707</v>
      </c>
      <c r="H795" s="25" t="s">
        <v>1708</v>
      </c>
      <c r="I795" s="25" t="s">
        <v>1709</v>
      </c>
      <c r="J795" s="25" t="s">
        <v>1710</v>
      </c>
      <c r="K795" s="25" t="s">
        <v>1711</v>
      </c>
      <c r="L795" s="8"/>
      <c r="M795" s="8"/>
      <c r="N795" s="8"/>
    </row>
    <row r="796" spans="1:14" ht="15.4" customHeight="1" thickBot="1" x14ac:dyDescent="0.25">
      <c r="A796" s="8"/>
      <c r="B796" s="8"/>
      <c r="C796" s="8"/>
      <c r="D796" s="26"/>
      <c r="E796" s="27" t="s">
        <v>1712</v>
      </c>
      <c r="F796" s="28">
        <v>4</v>
      </c>
      <c r="G796" s="29">
        <v>3</v>
      </c>
      <c r="H796" s="29"/>
      <c r="I796" s="29"/>
      <c r="J796" s="31">
        <f>ROUND(F796*G796,2)</f>
        <v>12</v>
      </c>
      <c r="K796" s="33">
        <f>SUM(J796:J796)</f>
        <v>12</v>
      </c>
      <c r="L796" s="8"/>
      <c r="M796" s="8"/>
      <c r="N796" s="8"/>
    </row>
    <row r="797" spans="1:14" ht="15.4" customHeight="1" thickBot="1" x14ac:dyDescent="0.25">
      <c r="A797" s="12" t="s">
        <v>1713</v>
      </c>
      <c r="B797" s="6" t="s">
        <v>1714</v>
      </c>
      <c r="C797" s="6" t="s">
        <v>1715</v>
      </c>
      <c r="D797" s="60" t="s">
        <v>1716</v>
      </c>
      <c r="E797" s="60"/>
      <c r="F797" s="60"/>
      <c r="G797" s="60"/>
      <c r="H797" s="60"/>
      <c r="I797" s="60"/>
      <c r="J797" s="60"/>
      <c r="K797" s="22">
        <f>SUM(K800:K800)</f>
        <v>155</v>
      </c>
      <c r="L797" s="22">
        <f>ROUND(12.63*(1+M2/100),2)</f>
        <v>12.63</v>
      </c>
      <c r="M797" s="22">
        <f>ROUND(K797*L797,2)</f>
        <v>1957.65</v>
      </c>
      <c r="N797" s="8"/>
    </row>
    <row r="798" spans="1:14" ht="30.95" customHeight="1" thickBot="1" x14ac:dyDescent="0.25">
      <c r="A798" s="8"/>
      <c r="B798" s="8"/>
      <c r="C798" s="8"/>
      <c r="D798" s="60" t="s">
        <v>1717</v>
      </c>
      <c r="E798" s="60"/>
      <c r="F798" s="60"/>
      <c r="G798" s="60"/>
      <c r="H798" s="60"/>
      <c r="I798" s="60"/>
      <c r="J798" s="60"/>
      <c r="K798" s="60"/>
      <c r="L798" s="60"/>
      <c r="M798" s="60"/>
      <c r="N798" s="8"/>
    </row>
    <row r="799" spans="1:14" ht="15.4" customHeight="1" thickBot="1" x14ac:dyDescent="0.25">
      <c r="A799" s="8"/>
      <c r="B799" s="8"/>
      <c r="C799" s="8"/>
      <c r="D799" s="8"/>
      <c r="E799" s="23"/>
      <c r="F799" s="25" t="s">
        <v>1718</v>
      </c>
      <c r="G799" s="25" t="s">
        <v>1719</v>
      </c>
      <c r="H799" s="25" t="s">
        <v>1720</v>
      </c>
      <c r="I799" s="25" t="s">
        <v>1721</v>
      </c>
      <c r="J799" s="25" t="s">
        <v>1722</v>
      </c>
      <c r="K799" s="25" t="s">
        <v>1723</v>
      </c>
      <c r="L799" s="8"/>
      <c r="M799" s="8"/>
      <c r="N799" s="8"/>
    </row>
    <row r="800" spans="1:14" ht="15.4" customHeight="1" thickBot="1" x14ac:dyDescent="0.25">
      <c r="A800" s="8"/>
      <c r="B800" s="8"/>
      <c r="C800" s="8"/>
      <c r="D800" s="26"/>
      <c r="E800" s="27" t="s">
        <v>1724</v>
      </c>
      <c r="F800" s="28">
        <v>1</v>
      </c>
      <c r="G800" s="29">
        <v>155</v>
      </c>
      <c r="H800" s="29"/>
      <c r="I800" s="29"/>
      <c r="J800" s="31">
        <f>ROUND(F800*G800,2)</f>
        <v>155</v>
      </c>
      <c r="K800" s="33">
        <f>SUM(J800:J800)</f>
        <v>155</v>
      </c>
      <c r="L800" s="8"/>
      <c r="M800" s="8"/>
      <c r="N800" s="8"/>
    </row>
    <row r="801" spans="1:14" ht="15.4" customHeight="1" thickBot="1" x14ac:dyDescent="0.25">
      <c r="A801" s="12" t="s">
        <v>1725</v>
      </c>
      <c r="B801" s="6" t="s">
        <v>1726</v>
      </c>
      <c r="C801" s="6" t="s">
        <v>1727</v>
      </c>
      <c r="D801" s="60" t="s">
        <v>1728</v>
      </c>
      <c r="E801" s="60"/>
      <c r="F801" s="60"/>
      <c r="G801" s="60"/>
      <c r="H801" s="60"/>
      <c r="I801" s="60"/>
      <c r="J801" s="60"/>
      <c r="K801" s="22">
        <f>SUM(K804:K804)</f>
        <v>50</v>
      </c>
      <c r="L801" s="22">
        <f>ROUND(14.01*(1+M2/100),2)</f>
        <v>14.01</v>
      </c>
      <c r="M801" s="22">
        <f>ROUND(K801*L801,2)</f>
        <v>700.5</v>
      </c>
      <c r="N801" s="8"/>
    </row>
    <row r="802" spans="1:14" ht="30.95" customHeight="1" thickBot="1" x14ac:dyDescent="0.25">
      <c r="A802" s="8"/>
      <c r="B802" s="8"/>
      <c r="C802" s="8"/>
      <c r="D802" s="60" t="s">
        <v>1729</v>
      </c>
      <c r="E802" s="60"/>
      <c r="F802" s="60"/>
      <c r="G802" s="60"/>
      <c r="H802" s="60"/>
      <c r="I802" s="60"/>
      <c r="J802" s="60"/>
      <c r="K802" s="60"/>
      <c r="L802" s="60"/>
      <c r="M802" s="60"/>
      <c r="N802" s="8"/>
    </row>
    <row r="803" spans="1:14" ht="15.4" customHeight="1" thickBot="1" x14ac:dyDescent="0.25">
      <c r="A803" s="8"/>
      <c r="B803" s="8"/>
      <c r="C803" s="8"/>
      <c r="D803" s="8"/>
      <c r="E803" s="23"/>
      <c r="F803" s="25" t="s">
        <v>1730</v>
      </c>
      <c r="G803" s="25" t="s">
        <v>1731</v>
      </c>
      <c r="H803" s="25" t="s">
        <v>1732</v>
      </c>
      <c r="I803" s="25" t="s">
        <v>1733</v>
      </c>
      <c r="J803" s="25" t="s">
        <v>1734</v>
      </c>
      <c r="K803" s="25" t="s">
        <v>1735</v>
      </c>
      <c r="L803" s="8"/>
      <c r="M803" s="8"/>
      <c r="N803" s="8"/>
    </row>
    <row r="804" spans="1:14" ht="15.4" customHeight="1" thickBot="1" x14ac:dyDescent="0.25">
      <c r="A804" s="8"/>
      <c r="B804" s="8"/>
      <c r="C804" s="8"/>
      <c r="D804" s="26"/>
      <c r="E804" s="27" t="s">
        <v>1736</v>
      </c>
      <c r="F804" s="28">
        <v>1</v>
      </c>
      <c r="G804" s="29">
        <v>50</v>
      </c>
      <c r="H804" s="29"/>
      <c r="I804" s="29"/>
      <c r="J804" s="31">
        <f>ROUND(F804*G804,2)</f>
        <v>50</v>
      </c>
      <c r="K804" s="33">
        <f>SUM(J804:J804)</f>
        <v>50</v>
      </c>
      <c r="L804" s="8"/>
      <c r="M804" s="8"/>
      <c r="N804" s="8"/>
    </row>
    <row r="805" spans="1:14" ht="15.4" customHeight="1" thickBot="1" x14ac:dyDescent="0.25">
      <c r="A805" s="12" t="s">
        <v>1737</v>
      </c>
      <c r="B805" s="6" t="s">
        <v>1738</v>
      </c>
      <c r="C805" s="6" t="s">
        <v>1739</v>
      </c>
      <c r="D805" s="60" t="s">
        <v>1740</v>
      </c>
      <c r="E805" s="60"/>
      <c r="F805" s="60"/>
      <c r="G805" s="60"/>
      <c r="H805" s="60"/>
      <c r="I805" s="60"/>
      <c r="J805" s="60"/>
      <c r="K805" s="22">
        <f>SUM(K808:K808)</f>
        <v>15</v>
      </c>
      <c r="L805" s="22">
        <f>ROUND(15.16*(1+M2/100),2)</f>
        <v>15.16</v>
      </c>
      <c r="M805" s="22">
        <f>ROUND(K805*L805,2)</f>
        <v>227.4</v>
      </c>
      <c r="N805" s="8"/>
    </row>
    <row r="806" spans="1:14" ht="30.95" customHeight="1" thickBot="1" x14ac:dyDescent="0.25">
      <c r="A806" s="8"/>
      <c r="B806" s="8"/>
      <c r="C806" s="8"/>
      <c r="D806" s="60" t="s">
        <v>1741</v>
      </c>
      <c r="E806" s="60"/>
      <c r="F806" s="60"/>
      <c r="G806" s="60"/>
      <c r="H806" s="60"/>
      <c r="I806" s="60"/>
      <c r="J806" s="60"/>
      <c r="K806" s="60"/>
      <c r="L806" s="60"/>
      <c r="M806" s="60"/>
      <c r="N806" s="8"/>
    </row>
    <row r="807" spans="1:14" ht="15.4" customHeight="1" thickBot="1" x14ac:dyDescent="0.25">
      <c r="A807" s="8"/>
      <c r="B807" s="8"/>
      <c r="C807" s="8"/>
      <c r="D807" s="8"/>
      <c r="E807" s="23"/>
      <c r="F807" s="25" t="s">
        <v>1742</v>
      </c>
      <c r="G807" s="25" t="s">
        <v>1743</v>
      </c>
      <c r="H807" s="25" t="s">
        <v>1744</v>
      </c>
      <c r="I807" s="25" t="s">
        <v>1745</v>
      </c>
      <c r="J807" s="25" t="s">
        <v>1746</v>
      </c>
      <c r="K807" s="25" t="s">
        <v>1747</v>
      </c>
      <c r="L807" s="8"/>
      <c r="M807" s="8"/>
      <c r="N807" s="8"/>
    </row>
    <row r="808" spans="1:14" ht="15.4" customHeight="1" thickBot="1" x14ac:dyDescent="0.25">
      <c r="A808" s="8"/>
      <c r="B808" s="8"/>
      <c r="C808" s="8"/>
      <c r="D808" s="26"/>
      <c r="E808" s="27" t="s">
        <v>1748</v>
      </c>
      <c r="F808" s="28">
        <v>1</v>
      </c>
      <c r="G808" s="29">
        <v>15</v>
      </c>
      <c r="H808" s="29"/>
      <c r="I808" s="29"/>
      <c r="J808" s="31">
        <f>ROUND(F808*G808,2)</f>
        <v>15</v>
      </c>
      <c r="K808" s="33">
        <f>SUM(J808:J808)</f>
        <v>15</v>
      </c>
      <c r="L808" s="8"/>
      <c r="M808" s="8"/>
      <c r="N808" s="8"/>
    </row>
    <row r="809" spans="1:14" ht="15.4" customHeight="1" thickBot="1" x14ac:dyDescent="0.25">
      <c r="A809" s="12" t="s">
        <v>1749</v>
      </c>
      <c r="B809" s="6" t="s">
        <v>1750</v>
      </c>
      <c r="C809" s="6" t="s">
        <v>1751</v>
      </c>
      <c r="D809" s="60" t="s">
        <v>1752</v>
      </c>
      <c r="E809" s="60"/>
      <c r="F809" s="60"/>
      <c r="G809" s="60"/>
      <c r="H809" s="60"/>
      <c r="I809" s="60"/>
      <c r="J809" s="60"/>
      <c r="K809" s="22">
        <f>SUM(K812:K812)</f>
        <v>10</v>
      </c>
      <c r="L809" s="22">
        <f>ROUND(7.58*(1+M2/100),2)</f>
        <v>7.58</v>
      </c>
      <c r="M809" s="22">
        <f>ROUND(K809*L809,2)</f>
        <v>75.8</v>
      </c>
      <c r="N809" s="8"/>
    </row>
    <row r="810" spans="1:14" ht="30.95" customHeight="1" thickBot="1" x14ac:dyDescent="0.25">
      <c r="A810" s="8"/>
      <c r="B810" s="8"/>
      <c r="C810" s="8"/>
      <c r="D810" s="60" t="s">
        <v>1753</v>
      </c>
      <c r="E810" s="60"/>
      <c r="F810" s="60"/>
      <c r="G810" s="60"/>
      <c r="H810" s="60"/>
      <c r="I810" s="60"/>
      <c r="J810" s="60"/>
      <c r="K810" s="60"/>
      <c r="L810" s="60"/>
      <c r="M810" s="60"/>
      <c r="N810" s="8"/>
    </row>
    <row r="811" spans="1:14" ht="15.4" customHeight="1" thickBot="1" x14ac:dyDescent="0.25">
      <c r="A811" s="8"/>
      <c r="B811" s="8"/>
      <c r="C811" s="8"/>
      <c r="D811" s="8"/>
      <c r="E811" s="23"/>
      <c r="F811" s="25" t="s">
        <v>1754</v>
      </c>
      <c r="G811" s="25" t="s">
        <v>1755</v>
      </c>
      <c r="H811" s="25" t="s">
        <v>1756</v>
      </c>
      <c r="I811" s="25" t="s">
        <v>1757</v>
      </c>
      <c r="J811" s="25" t="s">
        <v>1758</v>
      </c>
      <c r="K811" s="25" t="s">
        <v>1759</v>
      </c>
      <c r="L811" s="8"/>
      <c r="M811" s="8"/>
      <c r="N811" s="8"/>
    </row>
    <row r="812" spans="1:14" ht="15.4" customHeight="1" thickBot="1" x14ac:dyDescent="0.25">
      <c r="A812" s="8"/>
      <c r="B812" s="8"/>
      <c r="C812" s="8"/>
      <c r="D812" s="26"/>
      <c r="E812" s="27" t="s">
        <v>1760</v>
      </c>
      <c r="F812" s="28">
        <v>10</v>
      </c>
      <c r="G812" s="29"/>
      <c r="H812" s="29"/>
      <c r="I812" s="29"/>
      <c r="J812" s="31">
        <f>ROUND(F812,2)</f>
        <v>10</v>
      </c>
      <c r="K812" s="33">
        <f>SUM(J812:J812)</f>
        <v>10</v>
      </c>
      <c r="L812" s="8"/>
      <c r="M812" s="8"/>
      <c r="N812" s="8"/>
    </row>
    <row r="813" spans="1:14" ht="15.4" customHeight="1" thickBot="1" x14ac:dyDescent="0.25">
      <c r="A813" s="12" t="s">
        <v>1761</v>
      </c>
      <c r="B813" s="6" t="s">
        <v>1762</v>
      </c>
      <c r="C813" s="6" t="s">
        <v>1763</v>
      </c>
      <c r="D813" s="60" t="s">
        <v>1764</v>
      </c>
      <c r="E813" s="60"/>
      <c r="F813" s="60"/>
      <c r="G813" s="60"/>
      <c r="H813" s="60"/>
      <c r="I813" s="60"/>
      <c r="J813" s="60"/>
      <c r="K813" s="22">
        <f>SUM(K816:K816)</f>
        <v>5</v>
      </c>
      <c r="L813" s="22">
        <f>ROUND(23.72*(1+M2/100),2)</f>
        <v>23.72</v>
      </c>
      <c r="M813" s="22">
        <f>ROUND(K813*L813,2)</f>
        <v>118.6</v>
      </c>
      <c r="N813" s="8"/>
    </row>
    <row r="814" spans="1:14" ht="30.95" customHeight="1" thickBot="1" x14ac:dyDescent="0.25">
      <c r="A814" s="8"/>
      <c r="B814" s="8"/>
      <c r="C814" s="8"/>
      <c r="D814" s="60" t="s">
        <v>1765</v>
      </c>
      <c r="E814" s="60"/>
      <c r="F814" s="60"/>
      <c r="G814" s="60"/>
      <c r="H814" s="60"/>
      <c r="I814" s="60"/>
      <c r="J814" s="60"/>
      <c r="K814" s="60"/>
      <c r="L814" s="60"/>
      <c r="M814" s="60"/>
      <c r="N814" s="8"/>
    </row>
    <row r="815" spans="1:14" ht="15.4" customHeight="1" thickBot="1" x14ac:dyDescent="0.25">
      <c r="A815" s="8"/>
      <c r="B815" s="8"/>
      <c r="C815" s="8"/>
      <c r="D815" s="8"/>
      <c r="E815" s="23"/>
      <c r="F815" s="25" t="s">
        <v>1766</v>
      </c>
      <c r="G815" s="25" t="s">
        <v>1767</v>
      </c>
      <c r="H815" s="25" t="s">
        <v>1768</v>
      </c>
      <c r="I815" s="25" t="s">
        <v>1769</v>
      </c>
      <c r="J815" s="25" t="s">
        <v>1770</v>
      </c>
      <c r="K815" s="25" t="s">
        <v>1771</v>
      </c>
      <c r="L815" s="8"/>
      <c r="M815" s="8"/>
      <c r="N815" s="8"/>
    </row>
    <row r="816" spans="1:14" ht="15.4" customHeight="1" thickBot="1" x14ac:dyDescent="0.25">
      <c r="A816" s="8"/>
      <c r="B816" s="8"/>
      <c r="C816" s="8"/>
      <c r="D816" s="26"/>
      <c r="E816" s="27"/>
      <c r="F816" s="28">
        <v>1</v>
      </c>
      <c r="G816" s="29">
        <v>5</v>
      </c>
      <c r="H816" s="29"/>
      <c r="I816" s="29"/>
      <c r="J816" s="31">
        <f>ROUND(F816*G816,2)</f>
        <v>5</v>
      </c>
      <c r="K816" s="33">
        <f>SUM(J816:J816)</f>
        <v>5</v>
      </c>
      <c r="L816" s="8"/>
      <c r="M816" s="8"/>
      <c r="N816" s="8"/>
    </row>
    <row r="817" spans="1:14" ht="15.4" customHeight="1" thickBot="1" x14ac:dyDescent="0.25">
      <c r="A817" s="12" t="s">
        <v>1772</v>
      </c>
      <c r="B817" s="6" t="s">
        <v>1773</v>
      </c>
      <c r="C817" s="6" t="s">
        <v>1774</v>
      </c>
      <c r="D817" s="60" t="s">
        <v>1775</v>
      </c>
      <c r="E817" s="60"/>
      <c r="F817" s="60"/>
      <c r="G817" s="60"/>
      <c r="H817" s="60"/>
      <c r="I817" s="60"/>
      <c r="J817" s="60"/>
      <c r="K817" s="22">
        <f>SUM(K820:K822)</f>
        <v>22</v>
      </c>
      <c r="L817" s="22">
        <f>ROUND(14.01*(1+M2/100),2)</f>
        <v>14.01</v>
      </c>
      <c r="M817" s="22">
        <f>ROUND(K817*L817,2)</f>
        <v>308.22000000000003</v>
      </c>
      <c r="N817" s="8"/>
    </row>
    <row r="818" spans="1:14" ht="21.6" customHeight="1" thickBot="1" x14ac:dyDescent="0.25">
      <c r="A818" s="8"/>
      <c r="B818" s="8"/>
      <c r="C818" s="8"/>
      <c r="D818" s="60" t="s">
        <v>1776</v>
      </c>
      <c r="E818" s="60"/>
      <c r="F818" s="60"/>
      <c r="G818" s="60"/>
      <c r="H818" s="60"/>
      <c r="I818" s="60"/>
      <c r="J818" s="60"/>
      <c r="K818" s="60"/>
      <c r="L818" s="60"/>
      <c r="M818" s="60"/>
      <c r="N818" s="8"/>
    </row>
    <row r="819" spans="1:14" ht="15.4" customHeight="1" thickBot="1" x14ac:dyDescent="0.25">
      <c r="A819" s="8"/>
      <c r="B819" s="8"/>
      <c r="C819" s="8"/>
      <c r="D819" s="8"/>
      <c r="E819" s="23"/>
      <c r="F819" s="25" t="s">
        <v>1777</v>
      </c>
      <c r="G819" s="25" t="s">
        <v>1778</v>
      </c>
      <c r="H819" s="25" t="s">
        <v>1779</v>
      </c>
      <c r="I819" s="25" t="s">
        <v>1780</v>
      </c>
      <c r="J819" s="25" t="s">
        <v>1781</v>
      </c>
      <c r="K819" s="25" t="s">
        <v>1782</v>
      </c>
      <c r="L819" s="8"/>
      <c r="M819" s="8"/>
      <c r="N819" s="8"/>
    </row>
    <row r="820" spans="1:14" ht="15.4" customHeight="1" thickBot="1" x14ac:dyDescent="0.25">
      <c r="A820" s="8"/>
      <c r="B820" s="8"/>
      <c r="C820" s="8"/>
      <c r="D820" s="26"/>
      <c r="E820" s="27" t="s">
        <v>1783</v>
      </c>
      <c r="F820" s="28">
        <v>1</v>
      </c>
      <c r="G820" s="29">
        <v>15</v>
      </c>
      <c r="H820" s="29"/>
      <c r="I820" s="29"/>
      <c r="J820" s="31">
        <f>ROUND(F820*G820,2)</f>
        <v>15</v>
      </c>
      <c r="K820" s="35"/>
      <c r="L820" s="8"/>
      <c r="M820" s="8"/>
      <c r="N820" s="8"/>
    </row>
    <row r="821" spans="1:14" ht="15.4" customHeight="1" thickBot="1" x14ac:dyDescent="0.25">
      <c r="A821" s="8"/>
      <c r="B821" s="8"/>
      <c r="C821" s="8"/>
      <c r="D821" s="26"/>
      <c r="E821" s="6" t="s">
        <v>1784</v>
      </c>
      <c r="F821" s="4">
        <v>1</v>
      </c>
      <c r="G821" s="22">
        <v>5</v>
      </c>
      <c r="H821" s="22"/>
      <c r="I821" s="22"/>
      <c r="J821" s="30">
        <f>ROUND(F821*G821,2)</f>
        <v>5</v>
      </c>
      <c r="K821" s="8"/>
      <c r="L821" s="8"/>
      <c r="M821" s="8"/>
      <c r="N821" s="8"/>
    </row>
    <row r="822" spans="1:14" ht="15.4" customHeight="1" thickBot="1" x14ac:dyDescent="0.25">
      <c r="A822" s="8"/>
      <c r="B822" s="8"/>
      <c r="C822" s="8"/>
      <c r="D822" s="26"/>
      <c r="E822" s="6" t="s">
        <v>1785</v>
      </c>
      <c r="F822" s="4">
        <v>1</v>
      </c>
      <c r="G822" s="22">
        <v>2</v>
      </c>
      <c r="H822" s="22"/>
      <c r="I822" s="22"/>
      <c r="J822" s="30">
        <f>ROUND(F822*G822,2)</f>
        <v>2</v>
      </c>
      <c r="K822" s="32">
        <f>SUM(J820:J822)</f>
        <v>22</v>
      </c>
      <c r="L822" s="8"/>
      <c r="M822" s="8"/>
      <c r="N822" s="8"/>
    </row>
    <row r="823" spans="1:14" ht="15.4" customHeight="1" thickBot="1" x14ac:dyDescent="0.25">
      <c r="A823" s="12" t="s">
        <v>1786</v>
      </c>
      <c r="B823" s="6" t="s">
        <v>1787</v>
      </c>
      <c r="C823" s="6" t="s">
        <v>1788</v>
      </c>
      <c r="D823" s="60" t="s">
        <v>1789</v>
      </c>
      <c r="E823" s="60"/>
      <c r="F823" s="60"/>
      <c r="G823" s="60"/>
      <c r="H823" s="60"/>
      <c r="I823" s="60"/>
      <c r="J823" s="60"/>
      <c r="K823" s="22">
        <f>SUM(K826:K826)</f>
        <v>10</v>
      </c>
      <c r="L823" s="22">
        <f>ROUND(9.81*(1+M2/100),2)</f>
        <v>9.81</v>
      </c>
      <c r="M823" s="22">
        <f>ROUND(K823*L823,2)</f>
        <v>98.1</v>
      </c>
      <c r="N823" s="8"/>
    </row>
    <row r="824" spans="1:14" ht="30.95" customHeight="1" thickBot="1" x14ac:dyDescent="0.25">
      <c r="A824" s="8"/>
      <c r="B824" s="8"/>
      <c r="C824" s="8"/>
      <c r="D824" s="60" t="s">
        <v>1790</v>
      </c>
      <c r="E824" s="60"/>
      <c r="F824" s="60"/>
      <c r="G824" s="60"/>
      <c r="H824" s="60"/>
      <c r="I824" s="60"/>
      <c r="J824" s="60"/>
      <c r="K824" s="60"/>
      <c r="L824" s="60"/>
      <c r="M824" s="60"/>
      <c r="N824" s="8"/>
    </row>
    <row r="825" spans="1:14" ht="15.4" customHeight="1" thickBot="1" x14ac:dyDescent="0.25">
      <c r="A825" s="8"/>
      <c r="B825" s="8"/>
      <c r="C825" s="8"/>
      <c r="D825" s="8"/>
      <c r="E825" s="23"/>
      <c r="F825" s="25" t="s">
        <v>1791</v>
      </c>
      <c r="G825" s="25" t="s">
        <v>1792</v>
      </c>
      <c r="H825" s="25" t="s">
        <v>1793</v>
      </c>
      <c r="I825" s="25" t="s">
        <v>1794</v>
      </c>
      <c r="J825" s="25" t="s">
        <v>1795</v>
      </c>
      <c r="K825" s="25" t="s">
        <v>1796</v>
      </c>
      <c r="L825" s="8"/>
      <c r="M825" s="8"/>
      <c r="N825" s="8"/>
    </row>
    <row r="826" spans="1:14" ht="15.4" customHeight="1" thickBot="1" x14ac:dyDescent="0.25">
      <c r="A826" s="8"/>
      <c r="B826" s="8"/>
      <c r="C826" s="8"/>
      <c r="D826" s="26"/>
      <c r="E826" s="27" t="s">
        <v>1797</v>
      </c>
      <c r="F826" s="28">
        <v>10</v>
      </c>
      <c r="G826" s="29"/>
      <c r="H826" s="29"/>
      <c r="I826" s="29"/>
      <c r="J826" s="31">
        <f>ROUND(F826,2)</f>
        <v>10</v>
      </c>
      <c r="K826" s="33">
        <f>SUM(J826:J826)</f>
        <v>10</v>
      </c>
      <c r="L826" s="8"/>
      <c r="M826" s="8"/>
      <c r="N826" s="8"/>
    </row>
    <row r="827" spans="1:14" ht="15.4" customHeight="1" thickBot="1" x14ac:dyDescent="0.25">
      <c r="A827" s="12" t="s">
        <v>1798</v>
      </c>
      <c r="B827" s="6" t="s">
        <v>1799</v>
      </c>
      <c r="C827" s="6" t="s">
        <v>1800</v>
      </c>
      <c r="D827" s="60" t="s">
        <v>1801</v>
      </c>
      <c r="E827" s="60"/>
      <c r="F827" s="60"/>
      <c r="G827" s="60"/>
      <c r="H827" s="60"/>
      <c r="I827" s="60"/>
      <c r="J827" s="60"/>
      <c r="K827" s="22">
        <f>SUM(K830:K830)</f>
        <v>15</v>
      </c>
      <c r="L827" s="22">
        <f>ROUND(15.48*(1+M2/100),2)</f>
        <v>15.48</v>
      </c>
      <c r="M827" s="22">
        <f>ROUND(K827*L827,2)</f>
        <v>232.2</v>
      </c>
      <c r="N827" s="8"/>
    </row>
    <row r="828" spans="1:14" ht="59.1" customHeight="1" thickBot="1" x14ac:dyDescent="0.25">
      <c r="A828" s="8"/>
      <c r="B828" s="8"/>
      <c r="C828" s="8"/>
      <c r="D828" s="60" t="s">
        <v>1802</v>
      </c>
      <c r="E828" s="60"/>
      <c r="F828" s="60"/>
      <c r="G828" s="60"/>
      <c r="H828" s="60"/>
      <c r="I828" s="60"/>
      <c r="J828" s="60"/>
      <c r="K828" s="60"/>
      <c r="L828" s="60"/>
      <c r="M828" s="60"/>
      <c r="N828" s="8"/>
    </row>
    <row r="829" spans="1:14" ht="15.4" customHeight="1" thickBot="1" x14ac:dyDescent="0.25">
      <c r="A829" s="8"/>
      <c r="B829" s="8"/>
      <c r="C829" s="8"/>
      <c r="D829" s="8"/>
      <c r="E829" s="23"/>
      <c r="F829" s="25" t="s">
        <v>1803</v>
      </c>
      <c r="G829" s="25" t="s">
        <v>1804</v>
      </c>
      <c r="H829" s="25" t="s">
        <v>1805</v>
      </c>
      <c r="I829" s="25" t="s">
        <v>1806</v>
      </c>
      <c r="J829" s="25" t="s">
        <v>1807</v>
      </c>
      <c r="K829" s="25" t="s">
        <v>1808</v>
      </c>
      <c r="L829" s="8"/>
      <c r="M829" s="8"/>
      <c r="N829" s="8"/>
    </row>
    <row r="830" spans="1:14" ht="15.4" customHeight="1" thickBot="1" x14ac:dyDescent="0.25">
      <c r="A830" s="8"/>
      <c r="B830" s="8"/>
      <c r="C830" s="8"/>
      <c r="D830" s="26"/>
      <c r="E830" s="27"/>
      <c r="F830" s="28">
        <v>1</v>
      </c>
      <c r="G830" s="29">
        <v>15</v>
      </c>
      <c r="H830" s="29"/>
      <c r="I830" s="29"/>
      <c r="J830" s="31">
        <f>ROUND(F830*G830,2)</f>
        <v>15</v>
      </c>
      <c r="K830" s="33">
        <f>SUM(J830:J830)</f>
        <v>15</v>
      </c>
      <c r="L830" s="8"/>
      <c r="M830" s="8"/>
      <c r="N830" s="8"/>
    </row>
    <row r="831" spans="1:14" ht="15.4" customHeight="1" thickBot="1" x14ac:dyDescent="0.25">
      <c r="A831" s="12" t="s">
        <v>1809</v>
      </c>
      <c r="B831" s="6" t="s">
        <v>1810</v>
      </c>
      <c r="C831" s="6" t="s">
        <v>1811</v>
      </c>
      <c r="D831" s="60" t="s">
        <v>1812</v>
      </c>
      <c r="E831" s="60"/>
      <c r="F831" s="60"/>
      <c r="G831" s="60"/>
      <c r="H831" s="60"/>
      <c r="I831" s="60"/>
      <c r="J831" s="60"/>
      <c r="K831" s="22">
        <f>SUM(K834:K834)</f>
        <v>10</v>
      </c>
      <c r="L831" s="22">
        <f>ROUND(21*(1+M2/100),2)</f>
        <v>21</v>
      </c>
      <c r="M831" s="22">
        <f>ROUND(K831*L831,2)</f>
        <v>210</v>
      </c>
      <c r="N831" s="8"/>
    </row>
    <row r="832" spans="1:14" ht="59.1" customHeight="1" thickBot="1" x14ac:dyDescent="0.25">
      <c r="A832" s="8"/>
      <c r="B832" s="8"/>
      <c r="C832" s="8"/>
      <c r="D832" s="60" t="s">
        <v>1813</v>
      </c>
      <c r="E832" s="60"/>
      <c r="F832" s="60"/>
      <c r="G832" s="60"/>
      <c r="H832" s="60"/>
      <c r="I832" s="60"/>
      <c r="J832" s="60"/>
      <c r="K832" s="60"/>
      <c r="L832" s="60"/>
      <c r="M832" s="60"/>
      <c r="N832" s="8"/>
    </row>
    <row r="833" spans="1:14" ht="15.4" customHeight="1" thickBot="1" x14ac:dyDescent="0.25">
      <c r="A833" s="8"/>
      <c r="B833" s="8"/>
      <c r="C833" s="8"/>
      <c r="D833" s="8"/>
      <c r="E833" s="23"/>
      <c r="F833" s="25" t="s">
        <v>1814</v>
      </c>
      <c r="G833" s="25" t="s">
        <v>1815</v>
      </c>
      <c r="H833" s="25" t="s">
        <v>1816</v>
      </c>
      <c r="I833" s="25" t="s">
        <v>1817</v>
      </c>
      <c r="J833" s="25" t="s">
        <v>1818</v>
      </c>
      <c r="K833" s="25" t="s">
        <v>1819</v>
      </c>
      <c r="L833" s="8"/>
      <c r="M833" s="8"/>
      <c r="N833" s="8"/>
    </row>
    <row r="834" spans="1:14" ht="15.4" customHeight="1" thickBot="1" x14ac:dyDescent="0.25">
      <c r="A834" s="8"/>
      <c r="B834" s="8"/>
      <c r="C834" s="8"/>
      <c r="D834" s="26"/>
      <c r="E834" s="27"/>
      <c r="F834" s="28">
        <v>1</v>
      </c>
      <c r="G834" s="29">
        <v>10</v>
      </c>
      <c r="H834" s="29"/>
      <c r="I834" s="29"/>
      <c r="J834" s="31">
        <f>ROUND(F834*G834,2)</f>
        <v>10</v>
      </c>
      <c r="K834" s="33">
        <f>SUM(J834:J834)</f>
        <v>10</v>
      </c>
      <c r="L834" s="8"/>
      <c r="M834" s="8"/>
      <c r="N834" s="8"/>
    </row>
    <row r="835" spans="1:14" ht="15.4" customHeight="1" thickBot="1" x14ac:dyDescent="0.25">
      <c r="A835" s="12" t="s">
        <v>1820</v>
      </c>
      <c r="B835" s="6" t="s">
        <v>1821</v>
      </c>
      <c r="C835" s="6" t="s">
        <v>1822</v>
      </c>
      <c r="D835" s="60" t="s">
        <v>1823</v>
      </c>
      <c r="E835" s="60"/>
      <c r="F835" s="60"/>
      <c r="G835" s="60"/>
      <c r="H835" s="60"/>
      <c r="I835" s="60"/>
      <c r="J835" s="60"/>
      <c r="K835" s="22">
        <f>SUM(K838:K838)</f>
        <v>30</v>
      </c>
      <c r="L835" s="22">
        <f>ROUND(21.54*(1+M2/100),2)</f>
        <v>21.54</v>
      </c>
      <c r="M835" s="22">
        <f>ROUND(K835*L835,2)</f>
        <v>646.20000000000005</v>
      </c>
      <c r="N835" s="8"/>
    </row>
    <row r="836" spans="1:14" ht="59.1" customHeight="1" thickBot="1" x14ac:dyDescent="0.25">
      <c r="A836" s="8"/>
      <c r="B836" s="8"/>
      <c r="C836" s="8"/>
      <c r="D836" s="60" t="s">
        <v>1824</v>
      </c>
      <c r="E836" s="60"/>
      <c r="F836" s="60"/>
      <c r="G836" s="60"/>
      <c r="H836" s="60"/>
      <c r="I836" s="60"/>
      <c r="J836" s="60"/>
      <c r="K836" s="60"/>
      <c r="L836" s="60"/>
      <c r="M836" s="60"/>
      <c r="N836" s="8"/>
    </row>
    <row r="837" spans="1:14" ht="15.4" customHeight="1" thickBot="1" x14ac:dyDescent="0.25">
      <c r="A837" s="8"/>
      <c r="B837" s="8"/>
      <c r="C837" s="8"/>
      <c r="D837" s="8"/>
      <c r="E837" s="23"/>
      <c r="F837" s="25" t="s">
        <v>1825</v>
      </c>
      <c r="G837" s="25" t="s">
        <v>1826</v>
      </c>
      <c r="H837" s="25" t="s">
        <v>1827</v>
      </c>
      <c r="I837" s="25" t="s">
        <v>1828</v>
      </c>
      <c r="J837" s="25" t="s">
        <v>1829</v>
      </c>
      <c r="K837" s="25" t="s">
        <v>1830</v>
      </c>
      <c r="L837" s="8"/>
      <c r="M837" s="8"/>
      <c r="N837" s="8"/>
    </row>
    <row r="838" spans="1:14" ht="15.4" customHeight="1" thickBot="1" x14ac:dyDescent="0.25">
      <c r="A838" s="8"/>
      <c r="B838" s="8"/>
      <c r="C838" s="8"/>
      <c r="D838" s="26"/>
      <c r="E838" s="27"/>
      <c r="F838" s="28">
        <v>1</v>
      </c>
      <c r="G838" s="29">
        <v>30</v>
      </c>
      <c r="H838" s="29"/>
      <c r="I838" s="29"/>
      <c r="J838" s="31">
        <f>ROUND(F838*G838,2)</f>
        <v>30</v>
      </c>
      <c r="K838" s="33">
        <f>SUM(J838:J838)</f>
        <v>30</v>
      </c>
      <c r="L838" s="8"/>
      <c r="M838" s="8"/>
      <c r="N838" s="8"/>
    </row>
    <row r="839" spans="1:14" ht="15.4" customHeight="1" thickBot="1" x14ac:dyDescent="0.25">
      <c r="A839" s="12" t="s">
        <v>1831</v>
      </c>
      <c r="B839" s="6" t="s">
        <v>1832</v>
      </c>
      <c r="C839" s="6" t="s">
        <v>1833</v>
      </c>
      <c r="D839" s="60" t="s">
        <v>1834</v>
      </c>
      <c r="E839" s="60"/>
      <c r="F839" s="60"/>
      <c r="G839" s="60"/>
      <c r="H839" s="60"/>
      <c r="I839" s="60"/>
      <c r="J839" s="60"/>
      <c r="K839" s="22">
        <f>SUM(K842:K843)</f>
        <v>4</v>
      </c>
      <c r="L839" s="22">
        <f>ROUND(63.19*(1+M2/100),2)</f>
        <v>63.19</v>
      </c>
      <c r="M839" s="22">
        <f>ROUND(K839*L839,2)</f>
        <v>252.76</v>
      </c>
      <c r="N839" s="8"/>
    </row>
    <row r="840" spans="1:14" ht="30.95" customHeight="1" thickBot="1" x14ac:dyDescent="0.25">
      <c r="A840" s="8"/>
      <c r="B840" s="8"/>
      <c r="C840" s="8"/>
      <c r="D840" s="60" t="s">
        <v>1835</v>
      </c>
      <c r="E840" s="60"/>
      <c r="F840" s="60"/>
      <c r="G840" s="60"/>
      <c r="H840" s="60"/>
      <c r="I840" s="60"/>
      <c r="J840" s="60"/>
      <c r="K840" s="60"/>
      <c r="L840" s="60"/>
      <c r="M840" s="60"/>
      <c r="N840" s="8"/>
    </row>
    <row r="841" spans="1:14" ht="15.4" customHeight="1" thickBot="1" x14ac:dyDescent="0.25">
      <c r="A841" s="8"/>
      <c r="B841" s="8"/>
      <c r="C841" s="8"/>
      <c r="D841" s="8"/>
      <c r="E841" s="23"/>
      <c r="F841" s="25" t="s">
        <v>1836</v>
      </c>
      <c r="G841" s="25" t="s">
        <v>1837</v>
      </c>
      <c r="H841" s="25" t="s">
        <v>1838</v>
      </c>
      <c r="I841" s="25" t="s">
        <v>1839</v>
      </c>
      <c r="J841" s="25" t="s">
        <v>1840</v>
      </c>
      <c r="K841" s="25" t="s">
        <v>1841</v>
      </c>
      <c r="L841" s="8"/>
      <c r="M841" s="8"/>
      <c r="N841" s="8"/>
    </row>
    <row r="842" spans="1:14" ht="15.4" customHeight="1" thickBot="1" x14ac:dyDescent="0.25">
      <c r="A842" s="8"/>
      <c r="B842" s="8"/>
      <c r="C842" s="8"/>
      <c r="D842" s="26"/>
      <c r="E842" s="27" t="s">
        <v>1842</v>
      </c>
      <c r="F842" s="28">
        <v>2</v>
      </c>
      <c r="G842" s="29"/>
      <c r="H842" s="29"/>
      <c r="I842" s="29"/>
      <c r="J842" s="31">
        <f>ROUND(F842,2)</f>
        <v>2</v>
      </c>
      <c r="K842" s="35"/>
      <c r="L842" s="8"/>
      <c r="M842" s="8"/>
      <c r="N842" s="8"/>
    </row>
    <row r="843" spans="1:14" ht="15.4" customHeight="1" thickBot="1" x14ac:dyDescent="0.25">
      <c r="A843" s="8"/>
      <c r="B843" s="8"/>
      <c r="C843" s="8"/>
      <c r="D843" s="26"/>
      <c r="E843" s="6" t="s">
        <v>1843</v>
      </c>
      <c r="F843" s="4">
        <v>2</v>
      </c>
      <c r="G843" s="22"/>
      <c r="H843" s="22"/>
      <c r="I843" s="22"/>
      <c r="J843" s="30">
        <f>ROUND(F843,2)</f>
        <v>2</v>
      </c>
      <c r="K843" s="32">
        <f>SUM(J842:J843)</f>
        <v>4</v>
      </c>
      <c r="L843" s="8"/>
      <c r="M843" s="8"/>
      <c r="N843" s="8"/>
    </row>
    <row r="844" spans="1:14" ht="15.4" customHeight="1" thickBot="1" x14ac:dyDescent="0.25">
      <c r="A844" s="36"/>
      <c r="B844" s="36"/>
      <c r="C844" s="36"/>
      <c r="D844" s="50" t="s">
        <v>1844</v>
      </c>
      <c r="E844" s="51"/>
      <c r="F844" s="51"/>
      <c r="G844" s="51"/>
      <c r="H844" s="51"/>
      <c r="I844" s="51"/>
      <c r="J844" s="51"/>
      <c r="K844" s="51"/>
      <c r="L844" s="52">
        <f>M779+M783+M787+M793+M797+M801+M805+M809+M813+M817+M823+M827+M831+M835+M839</f>
        <v>7928.2300000000014</v>
      </c>
      <c r="M844" s="52">
        <f>ROUND(L844,2)</f>
        <v>7928.23</v>
      </c>
      <c r="N844" s="8"/>
    </row>
    <row r="845" spans="1:14" ht="15.4" customHeight="1" thickBot="1" x14ac:dyDescent="0.25">
      <c r="A845" s="47" t="s">
        <v>1845</v>
      </c>
      <c r="B845" s="47" t="s">
        <v>1846</v>
      </c>
      <c r="C845" s="48"/>
      <c r="D845" s="62" t="s">
        <v>1847</v>
      </c>
      <c r="E845" s="62"/>
      <c r="F845" s="62"/>
      <c r="G845" s="62"/>
      <c r="H845" s="62"/>
      <c r="I845" s="62"/>
      <c r="J845" s="62"/>
      <c r="K845" s="48"/>
      <c r="L845" s="49">
        <f>L1078</f>
        <v>81369.23</v>
      </c>
      <c r="M845" s="49">
        <f>ROUND(L845,2)</f>
        <v>81369.23</v>
      </c>
      <c r="N845" s="8"/>
    </row>
    <row r="846" spans="1:14" ht="15.4" customHeight="1" thickBot="1" x14ac:dyDescent="0.25">
      <c r="A846" s="19" t="s">
        <v>1848</v>
      </c>
      <c r="B846" s="19" t="s">
        <v>1849</v>
      </c>
      <c r="C846" s="20"/>
      <c r="D846" s="59" t="s">
        <v>1850</v>
      </c>
      <c r="E846" s="59"/>
      <c r="F846" s="59"/>
      <c r="G846" s="59"/>
      <c r="H846" s="59"/>
      <c r="I846" s="59"/>
      <c r="J846" s="59"/>
      <c r="K846" s="20"/>
      <c r="L846" s="21">
        <f>L955</f>
        <v>52372.52</v>
      </c>
      <c r="M846" s="21">
        <f>ROUND(L846,2)</f>
        <v>52372.52</v>
      </c>
      <c r="N846" s="8"/>
    </row>
    <row r="847" spans="1:14" ht="15.4" customHeight="1" thickBot="1" x14ac:dyDescent="0.25">
      <c r="A847" s="12" t="s">
        <v>1851</v>
      </c>
      <c r="B847" s="6" t="s">
        <v>1852</v>
      </c>
      <c r="C847" s="6" t="s">
        <v>1853</v>
      </c>
      <c r="D847" s="60" t="s">
        <v>1854</v>
      </c>
      <c r="E847" s="60"/>
      <c r="F847" s="60"/>
      <c r="G847" s="60"/>
      <c r="H847" s="60"/>
      <c r="I847" s="60"/>
      <c r="J847" s="60"/>
      <c r="K847" s="22">
        <f>SUM(K850:K850)</f>
        <v>1</v>
      </c>
      <c r="L847" s="22">
        <f>ROUND(1113.05*(1+M2/100),2)</f>
        <v>1113.05</v>
      </c>
      <c r="M847" s="22">
        <f>ROUND(K847*L847,2)</f>
        <v>1113.05</v>
      </c>
      <c r="N847" s="8"/>
    </row>
    <row r="848" spans="1:14" ht="30.95" customHeight="1" thickBot="1" x14ac:dyDescent="0.25">
      <c r="A848" s="8"/>
      <c r="B848" s="8"/>
      <c r="C848" s="8"/>
      <c r="D848" s="60" t="s">
        <v>1855</v>
      </c>
      <c r="E848" s="60"/>
      <c r="F848" s="60"/>
      <c r="G848" s="60"/>
      <c r="H848" s="60"/>
      <c r="I848" s="60"/>
      <c r="J848" s="60"/>
      <c r="K848" s="60"/>
      <c r="L848" s="60"/>
      <c r="M848" s="60"/>
      <c r="N848" s="8"/>
    </row>
    <row r="849" spans="1:14" ht="15.4" customHeight="1" thickBot="1" x14ac:dyDescent="0.25">
      <c r="A849" s="8"/>
      <c r="B849" s="8"/>
      <c r="C849" s="8"/>
      <c r="D849" s="8"/>
      <c r="E849" s="23"/>
      <c r="F849" s="25" t="s">
        <v>1856</v>
      </c>
      <c r="G849" s="25" t="s">
        <v>1857</v>
      </c>
      <c r="H849" s="25" t="s">
        <v>1858</v>
      </c>
      <c r="I849" s="25" t="s">
        <v>1859</v>
      </c>
      <c r="J849" s="25" t="s">
        <v>1860</v>
      </c>
      <c r="K849" s="25" t="s">
        <v>1861</v>
      </c>
      <c r="L849" s="8"/>
      <c r="M849" s="8"/>
      <c r="N849" s="8"/>
    </row>
    <row r="850" spans="1:14" ht="15.4" customHeight="1" thickBot="1" x14ac:dyDescent="0.25">
      <c r="A850" s="8"/>
      <c r="B850" s="8"/>
      <c r="C850" s="8"/>
      <c r="D850" s="26"/>
      <c r="E850" s="27"/>
      <c r="F850" s="28">
        <v>1</v>
      </c>
      <c r="G850" s="29"/>
      <c r="H850" s="29"/>
      <c r="I850" s="29"/>
      <c r="J850" s="31">
        <f>ROUND(F850,2)</f>
        <v>1</v>
      </c>
      <c r="K850" s="33">
        <f>SUM(J850:J850)</f>
        <v>1</v>
      </c>
      <c r="L850" s="8"/>
      <c r="M850" s="8"/>
      <c r="N850" s="8"/>
    </row>
    <row r="851" spans="1:14" ht="15.4" customHeight="1" thickBot="1" x14ac:dyDescent="0.25">
      <c r="A851" s="12" t="s">
        <v>1862</v>
      </c>
      <c r="B851" s="6" t="s">
        <v>1863</v>
      </c>
      <c r="C851" s="6" t="s">
        <v>1864</v>
      </c>
      <c r="D851" s="60" t="s">
        <v>1865</v>
      </c>
      <c r="E851" s="60"/>
      <c r="F851" s="60"/>
      <c r="G851" s="60"/>
      <c r="H851" s="60"/>
      <c r="I851" s="60"/>
      <c r="J851" s="60"/>
      <c r="K851" s="22">
        <f>SUM(K854:K854)</f>
        <v>1</v>
      </c>
      <c r="L851" s="22">
        <f>ROUND(515.58*(1+M2/100),2)</f>
        <v>515.58000000000004</v>
      </c>
      <c r="M851" s="22">
        <f>ROUND(K851*L851,2)</f>
        <v>515.58000000000004</v>
      </c>
      <c r="N851" s="8"/>
    </row>
    <row r="852" spans="1:14" ht="30.95" customHeight="1" thickBot="1" x14ac:dyDescent="0.25">
      <c r="A852" s="8"/>
      <c r="B852" s="8"/>
      <c r="C852" s="8"/>
      <c r="D852" s="60" t="s">
        <v>1866</v>
      </c>
      <c r="E852" s="60"/>
      <c r="F852" s="60"/>
      <c r="G852" s="60"/>
      <c r="H852" s="60"/>
      <c r="I852" s="60"/>
      <c r="J852" s="60"/>
      <c r="K852" s="60"/>
      <c r="L852" s="60"/>
      <c r="M852" s="60"/>
      <c r="N852" s="8"/>
    </row>
    <row r="853" spans="1:14" ht="15.4" customHeight="1" thickBot="1" x14ac:dyDescent="0.25">
      <c r="A853" s="8"/>
      <c r="B853" s="8"/>
      <c r="C853" s="8"/>
      <c r="D853" s="8"/>
      <c r="E853" s="23"/>
      <c r="F853" s="25" t="s">
        <v>1867</v>
      </c>
      <c r="G853" s="25" t="s">
        <v>1868</v>
      </c>
      <c r="H853" s="25" t="s">
        <v>1869</v>
      </c>
      <c r="I853" s="25" t="s">
        <v>1870</v>
      </c>
      <c r="J853" s="25" t="s">
        <v>1871</v>
      </c>
      <c r="K853" s="25" t="s">
        <v>1872</v>
      </c>
      <c r="L853" s="8"/>
      <c r="M853" s="8"/>
      <c r="N853" s="8"/>
    </row>
    <row r="854" spans="1:14" ht="15.4" customHeight="1" thickBot="1" x14ac:dyDescent="0.25">
      <c r="A854" s="8"/>
      <c r="B854" s="8"/>
      <c r="C854" s="8"/>
      <c r="D854" s="26"/>
      <c r="E854" s="27"/>
      <c r="F854" s="28">
        <v>1</v>
      </c>
      <c r="G854" s="29"/>
      <c r="H854" s="29"/>
      <c r="I854" s="29"/>
      <c r="J854" s="31">
        <f>ROUND(F854,2)</f>
        <v>1</v>
      </c>
      <c r="K854" s="33">
        <f>SUM(J854:J854)</f>
        <v>1</v>
      </c>
      <c r="L854" s="8"/>
      <c r="M854" s="8"/>
      <c r="N854" s="8"/>
    </row>
    <row r="855" spans="1:14" ht="15.4" customHeight="1" thickBot="1" x14ac:dyDescent="0.25">
      <c r="A855" s="12" t="s">
        <v>1873</v>
      </c>
      <c r="B855" s="6" t="s">
        <v>1874</v>
      </c>
      <c r="C855" s="6" t="s">
        <v>1875</v>
      </c>
      <c r="D855" s="60" t="s">
        <v>1876</v>
      </c>
      <c r="E855" s="60"/>
      <c r="F855" s="60"/>
      <c r="G855" s="60"/>
      <c r="H855" s="60"/>
      <c r="I855" s="60"/>
      <c r="J855" s="60"/>
      <c r="K855" s="22">
        <f>SUM(K858:K858)</f>
        <v>1</v>
      </c>
      <c r="L855" s="22">
        <f>ROUND(382.24*(1+M2/100),2)</f>
        <v>382.24</v>
      </c>
      <c r="M855" s="22">
        <f>ROUND(K855*L855,2)</f>
        <v>382.24</v>
      </c>
      <c r="N855" s="8"/>
    </row>
    <row r="856" spans="1:14" ht="21.6" customHeight="1" thickBot="1" x14ac:dyDescent="0.25">
      <c r="A856" s="8"/>
      <c r="B856" s="8"/>
      <c r="C856" s="8"/>
      <c r="D856" s="60" t="s">
        <v>1877</v>
      </c>
      <c r="E856" s="60"/>
      <c r="F856" s="60"/>
      <c r="G856" s="60"/>
      <c r="H856" s="60"/>
      <c r="I856" s="60"/>
      <c r="J856" s="60"/>
      <c r="K856" s="60"/>
      <c r="L856" s="60"/>
      <c r="M856" s="60"/>
      <c r="N856" s="8"/>
    </row>
    <row r="857" spans="1:14" ht="15.4" customHeight="1" thickBot="1" x14ac:dyDescent="0.25">
      <c r="A857" s="8"/>
      <c r="B857" s="8"/>
      <c r="C857" s="8"/>
      <c r="D857" s="8"/>
      <c r="E857" s="23"/>
      <c r="F857" s="25" t="s">
        <v>1878</v>
      </c>
      <c r="G857" s="25" t="s">
        <v>1879</v>
      </c>
      <c r="H857" s="25" t="s">
        <v>1880</v>
      </c>
      <c r="I857" s="25" t="s">
        <v>1881</v>
      </c>
      <c r="J857" s="25" t="s">
        <v>1882</v>
      </c>
      <c r="K857" s="25" t="s">
        <v>1883</v>
      </c>
      <c r="L857" s="8"/>
      <c r="M857" s="8"/>
      <c r="N857" s="8"/>
    </row>
    <row r="858" spans="1:14" ht="15.4" customHeight="1" thickBot="1" x14ac:dyDescent="0.25">
      <c r="A858" s="8"/>
      <c r="B858" s="8"/>
      <c r="C858" s="8"/>
      <c r="D858" s="26"/>
      <c r="E858" s="27"/>
      <c r="F858" s="28">
        <v>1</v>
      </c>
      <c r="G858" s="29"/>
      <c r="H858" s="29"/>
      <c r="I858" s="29"/>
      <c r="J858" s="31">
        <f>ROUND(F858,2)</f>
        <v>1</v>
      </c>
      <c r="K858" s="33">
        <f>SUM(J858:J858)</f>
        <v>1</v>
      </c>
      <c r="L858" s="8"/>
      <c r="M858" s="8"/>
      <c r="N858" s="8"/>
    </row>
    <row r="859" spans="1:14" ht="15.4" customHeight="1" thickBot="1" x14ac:dyDescent="0.25">
      <c r="A859" s="12" t="s">
        <v>1884</v>
      </c>
      <c r="B859" s="6" t="s">
        <v>1885</v>
      </c>
      <c r="C859" s="6" t="s">
        <v>1886</v>
      </c>
      <c r="D859" s="60" t="s">
        <v>1887</v>
      </c>
      <c r="E859" s="60"/>
      <c r="F859" s="60"/>
      <c r="G859" s="60"/>
      <c r="H859" s="60"/>
      <c r="I859" s="60"/>
      <c r="J859" s="60"/>
      <c r="K859" s="22">
        <f>SUM(K862:K862)</f>
        <v>1</v>
      </c>
      <c r="L859" s="22">
        <f>ROUND(11753.98*(1+M2/100),2)</f>
        <v>11753.98</v>
      </c>
      <c r="M859" s="22">
        <f>ROUND(K859*L859,2)</f>
        <v>11753.98</v>
      </c>
      <c r="N859" s="8"/>
    </row>
    <row r="860" spans="1:14" ht="30.95" customHeight="1" thickBot="1" x14ac:dyDescent="0.25">
      <c r="A860" s="8"/>
      <c r="B860" s="8"/>
      <c r="C860" s="8"/>
      <c r="D860" s="60" t="s">
        <v>1888</v>
      </c>
      <c r="E860" s="60"/>
      <c r="F860" s="60"/>
      <c r="G860" s="60"/>
      <c r="H860" s="60"/>
      <c r="I860" s="60"/>
      <c r="J860" s="60"/>
      <c r="K860" s="60"/>
      <c r="L860" s="60"/>
      <c r="M860" s="60"/>
      <c r="N860" s="8"/>
    </row>
    <row r="861" spans="1:14" ht="15.4" customHeight="1" thickBot="1" x14ac:dyDescent="0.25">
      <c r="A861" s="8"/>
      <c r="B861" s="8"/>
      <c r="C861" s="8"/>
      <c r="D861" s="8"/>
      <c r="E861" s="23"/>
      <c r="F861" s="25" t="s">
        <v>1889</v>
      </c>
      <c r="G861" s="25" t="s">
        <v>1890</v>
      </c>
      <c r="H861" s="25" t="s">
        <v>1891</v>
      </c>
      <c r="I861" s="25" t="s">
        <v>1892</v>
      </c>
      <c r="J861" s="25" t="s">
        <v>1893</v>
      </c>
      <c r="K861" s="25" t="s">
        <v>1894</v>
      </c>
      <c r="L861" s="8"/>
      <c r="M861" s="8"/>
      <c r="N861" s="8"/>
    </row>
    <row r="862" spans="1:14" ht="15.4" customHeight="1" thickBot="1" x14ac:dyDescent="0.25">
      <c r="A862" s="8"/>
      <c r="B862" s="8"/>
      <c r="C862" s="8"/>
      <c r="D862" s="26"/>
      <c r="E862" s="27"/>
      <c r="F862" s="28">
        <v>1</v>
      </c>
      <c r="G862" s="29"/>
      <c r="H862" s="29"/>
      <c r="I862" s="29"/>
      <c r="J862" s="31">
        <f>ROUND(F862,2)</f>
        <v>1</v>
      </c>
      <c r="K862" s="33">
        <f>SUM(J862:J862)</f>
        <v>1</v>
      </c>
      <c r="L862" s="8"/>
      <c r="M862" s="8"/>
      <c r="N862" s="8"/>
    </row>
    <row r="863" spans="1:14" ht="15.4" customHeight="1" thickBot="1" x14ac:dyDescent="0.25">
      <c r="A863" s="12" t="s">
        <v>1895</v>
      </c>
      <c r="B863" s="6" t="s">
        <v>1896</v>
      </c>
      <c r="C863" s="6" t="s">
        <v>1897</v>
      </c>
      <c r="D863" s="60" t="s">
        <v>1898</v>
      </c>
      <c r="E863" s="60"/>
      <c r="F863" s="60"/>
      <c r="G863" s="60"/>
      <c r="H863" s="60"/>
      <c r="I863" s="60"/>
      <c r="J863" s="60"/>
      <c r="K863" s="22">
        <f>SUM(K866:K866)</f>
        <v>1729</v>
      </c>
      <c r="L863" s="22">
        <f>ROUND(4.19*(1+M2/100),2)</f>
        <v>4.1900000000000004</v>
      </c>
      <c r="M863" s="22">
        <f>ROUND(K863*L863,2)</f>
        <v>7244.51</v>
      </c>
      <c r="N863" s="8"/>
    </row>
    <row r="864" spans="1:14" ht="30.95" customHeight="1" thickBot="1" x14ac:dyDescent="0.25">
      <c r="A864" s="8"/>
      <c r="B864" s="8"/>
      <c r="C864" s="8"/>
      <c r="D864" s="60" t="s">
        <v>1899</v>
      </c>
      <c r="E864" s="60"/>
      <c r="F864" s="60"/>
      <c r="G864" s="60"/>
      <c r="H864" s="60"/>
      <c r="I864" s="60"/>
      <c r="J864" s="60"/>
      <c r="K864" s="60"/>
      <c r="L864" s="60"/>
      <c r="M864" s="60"/>
      <c r="N864" s="8"/>
    </row>
    <row r="865" spans="1:14" ht="15.4" customHeight="1" thickBot="1" x14ac:dyDescent="0.25">
      <c r="A865" s="8"/>
      <c r="B865" s="8"/>
      <c r="C865" s="8"/>
      <c r="D865" s="8"/>
      <c r="E865" s="23"/>
      <c r="F865" s="25" t="s">
        <v>1900</v>
      </c>
      <c r="G865" s="25" t="s">
        <v>1901</v>
      </c>
      <c r="H865" s="25" t="s">
        <v>1902</v>
      </c>
      <c r="I865" s="25" t="s">
        <v>1903</v>
      </c>
      <c r="J865" s="25" t="s">
        <v>1904</v>
      </c>
      <c r="K865" s="25" t="s">
        <v>1905</v>
      </c>
      <c r="L865" s="8"/>
      <c r="M865" s="8"/>
      <c r="N865" s="8"/>
    </row>
    <row r="866" spans="1:14" ht="15.4" customHeight="1" thickBot="1" x14ac:dyDescent="0.25">
      <c r="A866" s="8"/>
      <c r="B866" s="8"/>
      <c r="C866" s="8"/>
      <c r="D866" s="26"/>
      <c r="E866" s="27"/>
      <c r="F866" s="28">
        <v>1.3</v>
      </c>
      <c r="G866" s="29">
        <v>1330</v>
      </c>
      <c r="H866" s="29"/>
      <c r="I866" s="29"/>
      <c r="J866" s="31">
        <f>ROUND(F866*G866,2)</f>
        <v>1729</v>
      </c>
      <c r="K866" s="33">
        <f>SUM(J866:J866)</f>
        <v>1729</v>
      </c>
      <c r="L866" s="8"/>
      <c r="M866" s="8"/>
      <c r="N866" s="8"/>
    </row>
    <row r="867" spans="1:14" ht="15.4" customHeight="1" thickBot="1" x14ac:dyDescent="0.25">
      <c r="A867" s="12" t="s">
        <v>1906</v>
      </c>
      <c r="B867" s="6" t="s">
        <v>1907</v>
      </c>
      <c r="C867" s="6" t="s">
        <v>1908</v>
      </c>
      <c r="D867" s="60" t="s">
        <v>1909</v>
      </c>
      <c r="E867" s="60"/>
      <c r="F867" s="60"/>
      <c r="G867" s="60"/>
      <c r="H867" s="60"/>
      <c r="I867" s="60"/>
      <c r="J867" s="60"/>
      <c r="K867" s="22">
        <f>SUM(K870:K870)</f>
        <v>845</v>
      </c>
      <c r="L867" s="22">
        <f>ROUND(4.67*(1+M2/100),2)</f>
        <v>4.67</v>
      </c>
      <c r="M867" s="22">
        <f>ROUND(K867*L867,2)</f>
        <v>3946.15</v>
      </c>
      <c r="N867" s="8"/>
    </row>
    <row r="868" spans="1:14" ht="30.95" customHeight="1" thickBot="1" x14ac:dyDescent="0.25">
      <c r="A868" s="8"/>
      <c r="B868" s="8"/>
      <c r="C868" s="8"/>
      <c r="D868" s="60" t="s">
        <v>1910</v>
      </c>
      <c r="E868" s="60"/>
      <c r="F868" s="60"/>
      <c r="G868" s="60"/>
      <c r="H868" s="60"/>
      <c r="I868" s="60"/>
      <c r="J868" s="60"/>
      <c r="K868" s="60"/>
      <c r="L868" s="60"/>
      <c r="M868" s="60"/>
      <c r="N868" s="8"/>
    </row>
    <row r="869" spans="1:14" ht="15.4" customHeight="1" thickBot="1" x14ac:dyDescent="0.25">
      <c r="A869" s="8"/>
      <c r="B869" s="8"/>
      <c r="C869" s="8"/>
      <c r="D869" s="8"/>
      <c r="E869" s="23"/>
      <c r="F869" s="25" t="s">
        <v>1911</v>
      </c>
      <c r="G869" s="25" t="s">
        <v>1912</v>
      </c>
      <c r="H869" s="25" t="s">
        <v>1913</v>
      </c>
      <c r="I869" s="25" t="s">
        <v>1914</v>
      </c>
      <c r="J869" s="25" t="s">
        <v>1915</v>
      </c>
      <c r="K869" s="25" t="s">
        <v>1916</v>
      </c>
      <c r="L869" s="8"/>
      <c r="M869" s="8"/>
      <c r="N869" s="8"/>
    </row>
    <row r="870" spans="1:14" ht="15.4" customHeight="1" thickBot="1" x14ac:dyDescent="0.25">
      <c r="A870" s="8"/>
      <c r="B870" s="8"/>
      <c r="C870" s="8"/>
      <c r="D870" s="26"/>
      <c r="E870" s="27"/>
      <c r="F870" s="28">
        <v>1.3</v>
      </c>
      <c r="G870" s="29">
        <v>650</v>
      </c>
      <c r="H870" s="29"/>
      <c r="I870" s="29"/>
      <c r="J870" s="31">
        <f>ROUND(F870*G870,2)</f>
        <v>845</v>
      </c>
      <c r="K870" s="33">
        <f>SUM(J870:J870)</f>
        <v>845</v>
      </c>
      <c r="L870" s="8"/>
      <c r="M870" s="8"/>
      <c r="N870" s="8"/>
    </row>
    <row r="871" spans="1:14" ht="15.4" customHeight="1" thickBot="1" x14ac:dyDescent="0.25">
      <c r="A871" s="12" t="s">
        <v>1917</v>
      </c>
      <c r="B871" s="6" t="s">
        <v>1918</v>
      </c>
      <c r="C871" s="6" t="s">
        <v>1919</v>
      </c>
      <c r="D871" s="60" t="s">
        <v>1920</v>
      </c>
      <c r="E871" s="60"/>
      <c r="F871" s="60"/>
      <c r="G871" s="60"/>
      <c r="H871" s="60"/>
      <c r="I871" s="60"/>
      <c r="J871" s="60"/>
      <c r="K871" s="22">
        <f>SUM(K874:K874)</f>
        <v>13</v>
      </c>
      <c r="L871" s="22">
        <f>ROUND(5.5*(1+M2/100),2)</f>
        <v>5.5</v>
      </c>
      <c r="M871" s="22">
        <f>ROUND(K871*L871,2)</f>
        <v>71.5</v>
      </c>
      <c r="N871" s="8"/>
    </row>
    <row r="872" spans="1:14" ht="30.95" customHeight="1" thickBot="1" x14ac:dyDescent="0.25">
      <c r="A872" s="8"/>
      <c r="B872" s="8"/>
      <c r="C872" s="8"/>
      <c r="D872" s="60" t="s">
        <v>1921</v>
      </c>
      <c r="E872" s="60"/>
      <c r="F872" s="60"/>
      <c r="G872" s="60"/>
      <c r="H872" s="60"/>
      <c r="I872" s="60"/>
      <c r="J872" s="60"/>
      <c r="K872" s="60"/>
      <c r="L872" s="60"/>
      <c r="M872" s="60"/>
      <c r="N872" s="8"/>
    </row>
    <row r="873" spans="1:14" ht="15.4" customHeight="1" thickBot="1" x14ac:dyDescent="0.25">
      <c r="A873" s="8"/>
      <c r="B873" s="8"/>
      <c r="C873" s="8"/>
      <c r="D873" s="8"/>
      <c r="E873" s="23"/>
      <c r="F873" s="25" t="s">
        <v>1922</v>
      </c>
      <c r="G873" s="25" t="s">
        <v>1923</v>
      </c>
      <c r="H873" s="25" t="s">
        <v>1924</v>
      </c>
      <c r="I873" s="25" t="s">
        <v>1925</v>
      </c>
      <c r="J873" s="25" t="s">
        <v>1926</v>
      </c>
      <c r="K873" s="25" t="s">
        <v>1927</v>
      </c>
      <c r="L873" s="8"/>
      <c r="M873" s="8"/>
      <c r="N873" s="8"/>
    </row>
    <row r="874" spans="1:14" ht="15.4" customHeight="1" thickBot="1" x14ac:dyDescent="0.25">
      <c r="A874" s="8"/>
      <c r="B874" s="8"/>
      <c r="C874" s="8"/>
      <c r="D874" s="26"/>
      <c r="E874" s="27" t="s">
        <v>1928</v>
      </c>
      <c r="F874" s="28">
        <v>1.3</v>
      </c>
      <c r="G874" s="29">
        <v>10</v>
      </c>
      <c r="H874" s="29"/>
      <c r="I874" s="29"/>
      <c r="J874" s="31">
        <f>ROUND(F874*G874,2)</f>
        <v>13</v>
      </c>
      <c r="K874" s="33">
        <f>SUM(J874:J874)</f>
        <v>13</v>
      </c>
      <c r="L874" s="8"/>
      <c r="M874" s="8"/>
      <c r="N874" s="8"/>
    </row>
    <row r="875" spans="1:14" ht="15.4" customHeight="1" thickBot="1" x14ac:dyDescent="0.25">
      <c r="A875" s="12" t="s">
        <v>1929</v>
      </c>
      <c r="B875" s="6" t="s">
        <v>1930</v>
      </c>
      <c r="C875" s="6" t="s">
        <v>1931</v>
      </c>
      <c r="D875" s="60" t="s">
        <v>1932</v>
      </c>
      <c r="E875" s="60"/>
      <c r="F875" s="60"/>
      <c r="G875" s="60"/>
      <c r="H875" s="60"/>
      <c r="I875" s="60"/>
      <c r="J875" s="60"/>
      <c r="K875" s="22">
        <f>SUM(K878:K878)</f>
        <v>39</v>
      </c>
      <c r="L875" s="22">
        <f>ROUND(3.45*(1+M2/100),2)</f>
        <v>3.45</v>
      </c>
      <c r="M875" s="22">
        <f>ROUND(K875*L875,2)</f>
        <v>134.55000000000001</v>
      </c>
      <c r="N875" s="8"/>
    </row>
    <row r="876" spans="1:14" ht="30.95" customHeight="1" thickBot="1" x14ac:dyDescent="0.25">
      <c r="A876" s="8"/>
      <c r="B876" s="8"/>
      <c r="C876" s="8"/>
      <c r="D876" s="60" t="s">
        <v>1933</v>
      </c>
      <c r="E876" s="60"/>
      <c r="F876" s="60"/>
      <c r="G876" s="60"/>
      <c r="H876" s="60"/>
      <c r="I876" s="60"/>
      <c r="J876" s="60"/>
      <c r="K876" s="60"/>
      <c r="L876" s="60"/>
      <c r="M876" s="60"/>
      <c r="N876" s="8"/>
    </row>
    <row r="877" spans="1:14" ht="15.4" customHeight="1" thickBot="1" x14ac:dyDescent="0.25">
      <c r="A877" s="8"/>
      <c r="B877" s="8"/>
      <c r="C877" s="8"/>
      <c r="D877" s="8"/>
      <c r="E877" s="23"/>
      <c r="F877" s="25" t="s">
        <v>1934</v>
      </c>
      <c r="G877" s="25" t="s">
        <v>1935</v>
      </c>
      <c r="H877" s="25" t="s">
        <v>1936</v>
      </c>
      <c r="I877" s="25" t="s">
        <v>1937</v>
      </c>
      <c r="J877" s="25" t="s">
        <v>1938</v>
      </c>
      <c r="K877" s="25" t="s">
        <v>1939</v>
      </c>
      <c r="L877" s="8"/>
      <c r="M877" s="8"/>
      <c r="N877" s="8"/>
    </row>
    <row r="878" spans="1:14" ht="15.4" customHeight="1" thickBot="1" x14ac:dyDescent="0.25">
      <c r="A878" s="8"/>
      <c r="B878" s="8"/>
      <c r="C878" s="8"/>
      <c r="D878" s="26"/>
      <c r="E878" s="27" t="s">
        <v>1940</v>
      </c>
      <c r="F878" s="28">
        <v>1.3</v>
      </c>
      <c r="G878" s="29">
        <v>30</v>
      </c>
      <c r="H878" s="29"/>
      <c r="I878" s="29"/>
      <c r="J878" s="31">
        <f>ROUND(F878*G878,2)</f>
        <v>39</v>
      </c>
      <c r="K878" s="33">
        <f>SUM(J878:J878)</f>
        <v>39</v>
      </c>
      <c r="L878" s="8"/>
      <c r="M878" s="8"/>
      <c r="N878" s="8"/>
    </row>
    <row r="879" spans="1:14" ht="15.4" customHeight="1" thickBot="1" x14ac:dyDescent="0.25">
      <c r="A879" s="12" t="s">
        <v>1941</v>
      </c>
      <c r="B879" s="6" t="s">
        <v>1942</v>
      </c>
      <c r="C879" s="6" t="s">
        <v>1943</v>
      </c>
      <c r="D879" s="60" t="s">
        <v>1944</v>
      </c>
      <c r="E879" s="60"/>
      <c r="F879" s="60"/>
      <c r="G879" s="60"/>
      <c r="H879" s="60"/>
      <c r="I879" s="60"/>
      <c r="J879" s="60"/>
      <c r="K879" s="22">
        <f>SUM(K882:K882)</f>
        <v>123.5</v>
      </c>
      <c r="L879" s="22">
        <f>ROUND(19.5*(1+M2/100),2)</f>
        <v>19.5</v>
      </c>
      <c r="M879" s="22">
        <f>ROUND(K879*L879,2)</f>
        <v>2408.25</v>
      </c>
      <c r="N879" s="8"/>
    </row>
    <row r="880" spans="1:14" ht="30.95" customHeight="1" thickBot="1" x14ac:dyDescent="0.25">
      <c r="A880" s="8"/>
      <c r="B880" s="8"/>
      <c r="C880" s="8"/>
      <c r="D880" s="60" t="s">
        <v>1945</v>
      </c>
      <c r="E880" s="60"/>
      <c r="F880" s="60"/>
      <c r="G880" s="60"/>
      <c r="H880" s="60"/>
      <c r="I880" s="60"/>
      <c r="J880" s="60"/>
      <c r="K880" s="60"/>
      <c r="L880" s="60"/>
      <c r="M880" s="60"/>
      <c r="N880" s="8"/>
    </row>
    <row r="881" spans="1:14" ht="15.4" customHeight="1" thickBot="1" x14ac:dyDescent="0.25">
      <c r="A881" s="8"/>
      <c r="B881" s="8"/>
      <c r="C881" s="8"/>
      <c r="D881" s="8"/>
      <c r="E881" s="23"/>
      <c r="F881" s="25" t="s">
        <v>1946</v>
      </c>
      <c r="G881" s="25" t="s">
        <v>1947</v>
      </c>
      <c r="H881" s="25" t="s">
        <v>1948</v>
      </c>
      <c r="I881" s="25" t="s">
        <v>1949</v>
      </c>
      <c r="J881" s="25" t="s">
        <v>1950</v>
      </c>
      <c r="K881" s="25" t="s">
        <v>1951</v>
      </c>
      <c r="L881" s="8"/>
      <c r="M881" s="8"/>
      <c r="N881" s="8"/>
    </row>
    <row r="882" spans="1:14" ht="15.4" customHeight="1" thickBot="1" x14ac:dyDescent="0.25">
      <c r="A882" s="8"/>
      <c r="B882" s="8"/>
      <c r="C882" s="8"/>
      <c r="D882" s="26"/>
      <c r="E882" s="27" t="s">
        <v>1952</v>
      </c>
      <c r="F882" s="28">
        <v>1.3</v>
      </c>
      <c r="G882" s="29">
        <v>95</v>
      </c>
      <c r="H882" s="29"/>
      <c r="I882" s="29"/>
      <c r="J882" s="31">
        <f>ROUND(F882*G882,2)</f>
        <v>123.5</v>
      </c>
      <c r="K882" s="33">
        <f>SUM(J882:J882)</f>
        <v>123.5</v>
      </c>
      <c r="L882" s="8"/>
      <c r="M882" s="8"/>
      <c r="N882" s="8"/>
    </row>
    <row r="883" spans="1:14" ht="15.4" customHeight="1" thickBot="1" x14ac:dyDescent="0.25">
      <c r="A883" s="12" t="s">
        <v>1953</v>
      </c>
      <c r="B883" s="6" t="s">
        <v>1954</v>
      </c>
      <c r="C883" s="6" t="s">
        <v>1955</v>
      </c>
      <c r="D883" s="60" t="s">
        <v>1956</v>
      </c>
      <c r="E883" s="60"/>
      <c r="F883" s="60"/>
      <c r="G883" s="60"/>
      <c r="H883" s="60"/>
      <c r="I883" s="60"/>
      <c r="J883" s="60"/>
      <c r="K883" s="22">
        <f>SUM(K886:K886)</f>
        <v>11</v>
      </c>
      <c r="L883" s="22">
        <f>ROUND(5.29*(1+M2/100),2)</f>
        <v>5.29</v>
      </c>
      <c r="M883" s="22">
        <f>ROUND(K883*L883,2)</f>
        <v>58.19</v>
      </c>
      <c r="N883" s="8"/>
    </row>
    <row r="884" spans="1:14" ht="40.35" customHeight="1" thickBot="1" x14ac:dyDescent="0.25">
      <c r="A884" s="8"/>
      <c r="B884" s="8"/>
      <c r="C884" s="8"/>
      <c r="D884" s="60" t="s">
        <v>1957</v>
      </c>
      <c r="E884" s="60"/>
      <c r="F884" s="60"/>
      <c r="G884" s="60"/>
      <c r="H884" s="60"/>
      <c r="I884" s="60"/>
      <c r="J884" s="60"/>
      <c r="K884" s="60"/>
      <c r="L884" s="60"/>
      <c r="M884" s="60"/>
      <c r="N884" s="8"/>
    </row>
    <row r="885" spans="1:14" ht="15.4" customHeight="1" thickBot="1" x14ac:dyDescent="0.25">
      <c r="A885" s="8"/>
      <c r="B885" s="8"/>
      <c r="C885" s="8"/>
      <c r="D885" s="8"/>
      <c r="E885" s="23"/>
      <c r="F885" s="25" t="s">
        <v>1958</v>
      </c>
      <c r="G885" s="25" t="s">
        <v>1959</v>
      </c>
      <c r="H885" s="25" t="s">
        <v>1960</v>
      </c>
      <c r="I885" s="25" t="s">
        <v>1961</v>
      </c>
      <c r="J885" s="25" t="s">
        <v>1962</v>
      </c>
      <c r="K885" s="25" t="s">
        <v>1963</v>
      </c>
      <c r="L885" s="8"/>
      <c r="M885" s="8"/>
      <c r="N885" s="8"/>
    </row>
    <row r="886" spans="1:14" ht="15.4" customHeight="1" thickBot="1" x14ac:dyDescent="0.25">
      <c r="A886" s="8"/>
      <c r="B886" s="8"/>
      <c r="C886" s="8"/>
      <c r="D886" s="26"/>
      <c r="E886" s="27" t="s">
        <v>1964</v>
      </c>
      <c r="F886" s="28">
        <v>11</v>
      </c>
      <c r="G886" s="29"/>
      <c r="H886" s="29"/>
      <c r="I886" s="29"/>
      <c r="J886" s="31">
        <f>ROUND(F886,2)</f>
        <v>11</v>
      </c>
      <c r="K886" s="33">
        <f>SUM(J886:J886)</f>
        <v>11</v>
      </c>
      <c r="L886" s="8"/>
      <c r="M886" s="8"/>
      <c r="N886" s="8"/>
    </row>
    <row r="887" spans="1:14" ht="15.4" customHeight="1" thickBot="1" x14ac:dyDescent="0.25">
      <c r="A887" s="12" t="s">
        <v>1965</v>
      </c>
      <c r="B887" s="6" t="s">
        <v>1966</v>
      </c>
      <c r="C887" s="6" t="s">
        <v>1967</v>
      </c>
      <c r="D887" s="60" t="s">
        <v>1968</v>
      </c>
      <c r="E887" s="60"/>
      <c r="F887" s="60"/>
      <c r="G887" s="60"/>
      <c r="H887" s="60"/>
      <c r="I887" s="60"/>
      <c r="J887" s="60"/>
      <c r="K887" s="22">
        <f>SUM(K890:K890)</f>
        <v>500</v>
      </c>
      <c r="L887" s="22">
        <f>ROUND(5.95*(1+M2/100),2)</f>
        <v>5.95</v>
      </c>
      <c r="M887" s="22">
        <f>ROUND(K887*L887,2)</f>
        <v>2975</v>
      </c>
      <c r="N887" s="8"/>
    </row>
    <row r="888" spans="1:14" ht="21.6" customHeight="1" thickBot="1" x14ac:dyDescent="0.25">
      <c r="A888" s="8"/>
      <c r="B888" s="8"/>
      <c r="C888" s="8"/>
      <c r="D888" s="60" t="s">
        <v>1969</v>
      </c>
      <c r="E888" s="60"/>
      <c r="F888" s="60"/>
      <c r="G888" s="60"/>
      <c r="H888" s="60"/>
      <c r="I888" s="60"/>
      <c r="J888" s="60"/>
      <c r="K888" s="60"/>
      <c r="L888" s="60"/>
      <c r="M888" s="60"/>
      <c r="N888" s="8"/>
    </row>
    <row r="889" spans="1:14" ht="15.4" customHeight="1" thickBot="1" x14ac:dyDescent="0.25">
      <c r="A889" s="8"/>
      <c r="B889" s="8"/>
      <c r="C889" s="8"/>
      <c r="D889" s="8"/>
      <c r="E889" s="23"/>
      <c r="F889" s="25" t="s">
        <v>1970</v>
      </c>
      <c r="G889" s="25" t="s">
        <v>1971</v>
      </c>
      <c r="H889" s="25" t="s">
        <v>1972</v>
      </c>
      <c r="I889" s="25" t="s">
        <v>1973</v>
      </c>
      <c r="J889" s="25" t="s">
        <v>1974</v>
      </c>
      <c r="K889" s="25" t="s">
        <v>1975</v>
      </c>
      <c r="L889" s="8"/>
      <c r="M889" s="8"/>
      <c r="N889" s="8"/>
    </row>
    <row r="890" spans="1:14" ht="15.4" customHeight="1" thickBot="1" x14ac:dyDescent="0.25">
      <c r="A890" s="8"/>
      <c r="B890" s="8"/>
      <c r="C890" s="8"/>
      <c r="D890" s="26"/>
      <c r="E890" s="27" t="s">
        <v>1976</v>
      </c>
      <c r="F890" s="28">
        <v>500</v>
      </c>
      <c r="G890" s="29"/>
      <c r="H890" s="29"/>
      <c r="I890" s="29"/>
      <c r="J890" s="31">
        <f>ROUND(F890,2)</f>
        <v>500</v>
      </c>
      <c r="K890" s="33">
        <f>SUM(J890:J890)</f>
        <v>500</v>
      </c>
      <c r="L890" s="8"/>
      <c r="M890" s="8"/>
      <c r="N890" s="8"/>
    </row>
    <row r="891" spans="1:14" ht="15.4" customHeight="1" thickBot="1" x14ac:dyDescent="0.25">
      <c r="A891" s="12" t="s">
        <v>1977</v>
      </c>
      <c r="B891" s="6" t="s">
        <v>1978</v>
      </c>
      <c r="C891" s="6" t="s">
        <v>1979</v>
      </c>
      <c r="D891" s="60" t="s">
        <v>1980</v>
      </c>
      <c r="E891" s="60"/>
      <c r="F891" s="60"/>
      <c r="G891" s="60"/>
      <c r="H891" s="60"/>
      <c r="I891" s="60"/>
      <c r="J891" s="60"/>
      <c r="K891" s="22">
        <f>SUM(K894:K907)</f>
        <v>37</v>
      </c>
      <c r="L891" s="22">
        <f>ROUND(28.81*(1+M2/100),2)</f>
        <v>28.81</v>
      </c>
      <c r="M891" s="22">
        <f>ROUND(K891*L891,2)</f>
        <v>1065.97</v>
      </c>
      <c r="N891" s="8"/>
    </row>
    <row r="892" spans="1:14" ht="40.35" customHeight="1" thickBot="1" x14ac:dyDescent="0.25">
      <c r="A892" s="8"/>
      <c r="B892" s="8"/>
      <c r="C892" s="8"/>
      <c r="D892" s="60" t="s">
        <v>1981</v>
      </c>
      <c r="E892" s="60"/>
      <c r="F892" s="60"/>
      <c r="G892" s="60"/>
      <c r="H892" s="60"/>
      <c r="I892" s="60"/>
      <c r="J892" s="60"/>
      <c r="K892" s="60"/>
      <c r="L892" s="60"/>
      <c r="M892" s="60"/>
      <c r="N892" s="8"/>
    </row>
    <row r="893" spans="1:14" ht="15.4" customHeight="1" thickBot="1" x14ac:dyDescent="0.25">
      <c r="A893" s="8"/>
      <c r="B893" s="8"/>
      <c r="C893" s="8"/>
      <c r="D893" s="8"/>
      <c r="E893" s="23"/>
      <c r="F893" s="25" t="s">
        <v>1982</v>
      </c>
      <c r="G893" s="25" t="s">
        <v>1983</v>
      </c>
      <c r="H893" s="25" t="s">
        <v>1984</v>
      </c>
      <c r="I893" s="25" t="s">
        <v>1985</v>
      </c>
      <c r="J893" s="25" t="s">
        <v>1986</v>
      </c>
      <c r="K893" s="25" t="s">
        <v>1987</v>
      </c>
      <c r="L893" s="8"/>
      <c r="M893" s="8"/>
      <c r="N893" s="8"/>
    </row>
    <row r="894" spans="1:14" ht="15.4" customHeight="1" thickBot="1" x14ac:dyDescent="0.25">
      <c r="A894" s="8"/>
      <c r="B894" s="8"/>
      <c r="C894" s="8"/>
      <c r="D894" s="26"/>
      <c r="E894" s="27" t="s">
        <v>1988</v>
      </c>
      <c r="F894" s="28">
        <v>11</v>
      </c>
      <c r="G894" s="29"/>
      <c r="H894" s="29"/>
      <c r="I894" s="29"/>
      <c r="J894" s="31">
        <f t="shared" ref="J894:J907" si="17">ROUND(F894,2)</f>
        <v>11</v>
      </c>
      <c r="K894" s="35"/>
      <c r="L894" s="8"/>
      <c r="M894" s="8"/>
      <c r="N894" s="8"/>
    </row>
    <row r="895" spans="1:14" ht="15.4" customHeight="1" thickBot="1" x14ac:dyDescent="0.25">
      <c r="A895" s="8"/>
      <c r="B895" s="8"/>
      <c r="C895" s="8"/>
      <c r="D895" s="26"/>
      <c r="E895" s="6" t="s">
        <v>1989</v>
      </c>
      <c r="F895" s="4">
        <v>1</v>
      </c>
      <c r="G895" s="22"/>
      <c r="H895" s="22"/>
      <c r="I895" s="22"/>
      <c r="J895" s="30">
        <f t="shared" si="17"/>
        <v>1</v>
      </c>
      <c r="K895" s="8"/>
      <c r="L895" s="8"/>
      <c r="M895" s="8"/>
      <c r="N895" s="8"/>
    </row>
    <row r="896" spans="1:14" ht="15.4" customHeight="1" thickBot="1" x14ac:dyDescent="0.25">
      <c r="A896" s="8"/>
      <c r="B896" s="8"/>
      <c r="C896" s="8"/>
      <c r="D896" s="26"/>
      <c r="E896" s="6" t="s">
        <v>1990</v>
      </c>
      <c r="F896" s="4">
        <v>3</v>
      </c>
      <c r="G896" s="22"/>
      <c r="H896" s="22"/>
      <c r="I896" s="22"/>
      <c r="J896" s="30">
        <f t="shared" si="17"/>
        <v>3</v>
      </c>
      <c r="K896" s="8"/>
      <c r="L896" s="8"/>
      <c r="M896" s="8"/>
      <c r="N896" s="8"/>
    </row>
    <row r="897" spans="1:14" ht="15.4" customHeight="1" thickBot="1" x14ac:dyDescent="0.25">
      <c r="A897" s="8"/>
      <c r="B897" s="8"/>
      <c r="C897" s="8"/>
      <c r="D897" s="26"/>
      <c r="E897" s="6" t="s">
        <v>1991</v>
      </c>
      <c r="F897" s="4">
        <v>2</v>
      </c>
      <c r="G897" s="22"/>
      <c r="H897" s="22"/>
      <c r="I897" s="22"/>
      <c r="J897" s="30">
        <f t="shared" si="17"/>
        <v>2</v>
      </c>
      <c r="K897" s="8"/>
      <c r="L897" s="8"/>
      <c r="M897" s="8"/>
      <c r="N897" s="8"/>
    </row>
    <row r="898" spans="1:14" ht="15.4" customHeight="1" thickBot="1" x14ac:dyDescent="0.25">
      <c r="A898" s="8"/>
      <c r="B898" s="8"/>
      <c r="C898" s="8"/>
      <c r="D898" s="26"/>
      <c r="E898" s="6" t="s">
        <v>1992</v>
      </c>
      <c r="F898" s="4">
        <v>2</v>
      </c>
      <c r="G898" s="22"/>
      <c r="H898" s="22"/>
      <c r="I898" s="22"/>
      <c r="J898" s="30">
        <f t="shared" si="17"/>
        <v>2</v>
      </c>
      <c r="K898" s="8"/>
      <c r="L898" s="8"/>
      <c r="M898" s="8"/>
      <c r="N898" s="8"/>
    </row>
    <row r="899" spans="1:14" ht="15.4" customHeight="1" thickBot="1" x14ac:dyDescent="0.25">
      <c r="A899" s="8"/>
      <c r="B899" s="8"/>
      <c r="C899" s="8"/>
      <c r="D899" s="26"/>
      <c r="E899" s="6" t="s">
        <v>1993</v>
      </c>
      <c r="F899" s="4">
        <v>2</v>
      </c>
      <c r="G899" s="22"/>
      <c r="H899" s="22"/>
      <c r="I899" s="22"/>
      <c r="J899" s="30">
        <f t="shared" si="17"/>
        <v>2</v>
      </c>
      <c r="K899" s="8"/>
      <c r="L899" s="8"/>
      <c r="M899" s="8"/>
      <c r="N899" s="8"/>
    </row>
    <row r="900" spans="1:14" ht="15.4" customHeight="1" thickBot="1" x14ac:dyDescent="0.25">
      <c r="A900" s="8"/>
      <c r="B900" s="8"/>
      <c r="C900" s="8"/>
      <c r="D900" s="26"/>
      <c r="E900" s="6" t="s">
        <v>1994</v>
      </c>
      <c r="F900" s="4">
        <v>1</v>
      </c>
      <c r="G900" s="22"/>
      <c r="H900" s="22"/>
      <c r="I900" s="22"/>
      <c r="J900" s="30">
        <f t="shared" si="17"/>
        <v>1</v>
      </c>
      <c r="K900" s="8"/>
      <c r="L900" s="8"/>
      <c r="M900" s="8"/>
      <c r="N900" s="8"/>
    </row>
    <row r="901" spans="1:14" ht="15.4" customHeight="1" thickBot="1" x14ac:dyDescent="0.25">
      <c r="A901" s="8"/>
      <c r="B901" s="8"/>
      <c r="C901" s="8"/>
      <c r="D901" s="26"/>
      <c r="E901" s="6" t="s">
        <v>1995</v>
      </c>
      <c r="F901" s="4">
        <v>2</v>
      </c>
      <c r="G901" s="22"/>
      <c r="H901" s="22"/>
      <c r="I901" s="22"/>
      <c r="J901" s="30">
        <f t="shared" si="17"/>
        <v>2</v>
      </c>
      <c r="K901" s="8"/>
      <c r="L901" s="8"/>
      <c r="M901" s="8"/>
      <c r="N901" s="8"/>
    </row>
    <row r="902" spans="1:14" ht="15.4" customHeight="1" thickBot="1" x14ac:dyDescent="0.25">
      <c r="A902" s="8"/>
      <c r="B902" s="8"/>
      <c r="C902" s="8"/>
      <c r="D902" s="26"/>
      <c r="E902" s="6" t="s">
        <v>1996</v>
      </c>
      <c r="F902" s="4">
        <v>8</v>
      </c>
      <c r="G902" s="22"/>
      <c r="H902" s="22"/>
      <c r="I902" s="22"/>
      <c r="J902" s="30">
        <f t="shared" si="17"/>
        <v>8</v>
      </c>
      <c r="K902" s="8"/>
      <c r="L902" s="8"/>
      <c r="M902" s="8"/>
      <c r="N902" s="8"/>
    </row>
    <row r="903" spans="1:14" ht="15.4" customHeight="1" thickBot="1" x14ac:dyDescent="0.25">
      <c r="A903" s="8"/>
      <c r="B903" s="8"/>
      <c r="C903" s="8"/>
      <c r="D903" s="26"/>
      <c r="E903" s="6" t="s">
        <v>1997</v>
      </c>
      <c r="F903" s="4">
        <v>1</v>
      </c>
      <c r="G903" s="22"/>
      <c r="H903" s="22"/>
      <c r="I903" s="22"/>
      <c r="J903" s="30">
        <f t="shared" si="17"/>
        <v>1</v>
      </c>
      <c r="K903" s="8"/>
      <c r="L903" s="8"/>
      <c r="M903" s="8"/>
      <c r="N903" s="8"/>
    </row>
    <row r="904" spans="1:14" ht="15.4" customHeight="1" thickBot="1" x14ac:dyDescent="0.25">
      <c r="A904" s="8"/>
      <c r="B904" s="8"/>
      <c r="C904" s="8"/>
      <c r="D904" s="26"/>
      <c r="E904" s="6" t="s">
        <v>1998</v>
      </c>
      <c r="F904" s="4">
        <v>1</v>
      </c>
      <c r="G904" s="22"/>
      <c r="H904" s="22"/>
      <c r="I904" s="22"/>
      <c r="J904" s="30">
        <f t="shared" si="17"/>
        <v>1</v>
      </c>
      <c r="K904" s="8"/>
      <c r="L904" s="8"/>
      <c r="M904" s="8"/>
      <c r="N904" s="8"/>
    </row>
    <row r="905" spans="1:14" ht="15.4" customHeight="1" thickBot="1" x14ac:dyDescent="0.25">
      <c r="A905" s="8"/>
      <c r="B905" s="8"/>
      <c r="C905" s="8"/>
      <c r="D905" s="26"/>
      <c r="E905" s="6" t="s">
        <v>1999</v>
      </c>
      <c r="F905" s="4">
        <v>1</v>
      </c>
      <c r="G905" s="22"/>
      <c r="H905" s="22"/>
      <c r="I905" s="22"/>
      <c r="J905" s="30">
        <f t="shared" si="17"/>
        <v>1</v>
      </c>
      <c r="K905" s="8"/>
      <c r="L905" s="8"/>
      <c r="M905" s="8"/>
      <c r="N905" s="8"/>
    </row>
    <row r="906" spans="1:14" ht="15.4" customHeight="1" thickBot="1" x14ac:dyDescent="0.25">
      <c r="A906" s="8"/>
      <c r="B906" s="8"/>
      <c r="C906" s="8"/>
      <c r="D906" s="26"/>
      <c r="E906" s="6" t="s">
        <v>2000</v>
      </c>
      <c r="F906" s="4">
        <v>1</v>
      </c>
      <c r="G906" s="22"/>
      <c r="H906" s="22"/>
      <c r="I906" s="22"/>
      <c r="J906" s="30">
        <f t="shared" si="17"/>
        <v>1</v>
      </c>
      <c r="K906" s="8"/>
      <c r="L906" s="8"/>
      <c r="M906" s="8"/>
      <c r="N906" s="8"/>
    </row>
    <row r="907" spans="1:14" ht="15.4" customHeight="1" thickBot="1" x14ac:dyDescent="0.25">
      <c r="A907" s="8"/>
      <c r="B907" s="8"/>
      <c r="C907" s="8"/>
      <c r="D907" s="26"/>
      <c r="E907" s="6" t="s">
        <v>2001</v>
      </c>
      <c r="F907" s="4">
        <v>1</v>
      </c>
      <c r="G907" s="22"/>
      <c r="H907" s="22"/>
      <c r="I907" s="22"/>
      <c r="J907" s="30">
        <f t="shared" si="17"/>
        <v>1</v>
      </c>
      <c r="K907" s="32">
        <f>SUM(J894:J907)</f>
        <v>37</v>
      </c>
      <c r="L907" s="8"/>
      <c r="M907" s="8"/>
      <c r="N907" s="8"/>
    </row>
    <row r="908" spans="1:14" ht="15.4" customHeight="1" thickBot="1" x14ac:dyDescent="0.25">
      <c r="A908" s="12" t="s">
        <v>2002</v>
      </c>
      <c r="B908" s="6" t="s">
        <v>2003</v>
      </c>
      <c r="C908" s="6" t="s">
        <v>2004</v>
      </c>
      <c r="D908" s="60" t="s">
        <v>2005</v>
      </c>
      <c r="E908" s="60"/>
      <c r="F908" s="60"/>
      <c r="G908" s="60"/>
      <c r="H908" s="60"/>
      <c r="I908" s="60"/>
      <c r="J908" s="60"/>
      <c r="K908" s="22">
        <f>SUM(K911:K911)</f>
        <v>2</v>
      </c>
      <c r="L908" s="22">
        <f>ROUND(39.96*(1+M2/100),2)</f>
        <v>39.96</v>
      </c>
      <c r="M908" s="22">
        <f>ROUND(K908*L908,2)</f>
        <v>79.92</v>
      </c>
      <c r="N908" s="8"/>
    </row>
    <row r="909" spans="1:14" ht="40.35" customHeight="1" thickBot="1" x14ac:dyDescent="0.25">
      <c r="A909" s="8"/>
      <c r="B909" s="8"/>
      <c r="C909" s="8"/>
      <c r="D909" s="60" t="s">
        <v>2006</v>
      </c>
      <c r="E909" s="60"/>
      <c r="F909" s="60"/>
      <c r="G909" s="60"/>
      <c r="H909" s="60"/>
      <c r="I909" s="60"/>
      <c r="J909" s="60"/>
      <c r="K909" s="60"/>
      <c r="L909" s="60"/>
      <c r="M909" s="60"/>
      <c r="N909" s="8"/>
    </row>
    <row r="910" spans="1:14" ht="15.4" customHeight="1" thickBot="1" x14ac:dyDescent="0.25">
      <c r="A910" s="8"/>
      <c r="B910" s="8"/>
      <c r="C910" s="8"/>
      <c r="D910" s="8"/>
      <c r="E910" s="23"/>
      <c r="F910" s="25" t="s">
        <v>2007</v>
      </c>
      <c r="G910" s="25" t="s">
        <v>2008</v>
      </c>
      <c r="H910" s="25" t="s">
        <v>2009</v>
      </c>
      <c r="I910" s="25" t="s">
        <v>2010</v>
      </c>
      <c r="J910" s="25" t="s">
        <v>2011</v>
      </c>
      <c r="K910" s="25" t="s">
        <v>2012</v>
      </c>
      <c r="L910" s="8"/>
      <c r="M910" s="8"/>
      <c r="N910" s="8"/>
    </row>
    <row r="911" spans="1:14" ht="15.4" customHeight="1" thickBot="1" x14ac:dyDescent="0.25">
      <c r="A911" s="8"/>
      <c r="B911" s="8"/>
      <c r="C911" s="8"/>
      <c r="D911" s="26"/>
      <c r="E911" s="27" t="s">
        <v>2013</v>
      </c>
      <c r="F911" s="28">
        <v>2</v>
      </c>
      <c r="G911" s="29"/>
      <c r="H911" s="29"/>
      <c r="I911" s="29"/>
      <c r="J911" s="31">
        <f>ROUND(F911,2)</f>
        <v>2</v>
      </c>
      <c r="K911" s="33">
        <f>SUM(J911:J911)</f>
        <v>2</v>
      </c>
      <c r="L911" s="8"/>
      <c r="M911" s="8"/>
      <c r="N911" s="8"/>
    </row>
    <row r="912" spans="1:14" ht="15.4" customHeight="1" thickBot="1" x14ac:dyDescent="0.25">
      <c r="A912" s="12" t="s">
        <v>2014</v>
      </c>
      <c r="B912" s="6" t="s">
        <v>2015</v>
      </c>
      <c r="C912" s="6" t="s">
        <v>2016</v>
      </c>
      <c r="D912" s="60" t="s">
        <v>2017</v>
      </c>
      <c r="E912" s="60"/>
      <c r="F912" s="60"/>
      <c r="G912" s="60"/>
      <c r="H912" s="60"/>
      <c r="I912" s="60"/>
      <c r="J912" s="60"/>
      <c r="K912" s="22">
        <f>SUM(K915:K915)</f>
        <v>4</v>
      </c>
      <c r="L912" s="22">
        <f>ROUND(138.61*(1+M2/100),2)</f>
        <v>138.61000000000001</v>
      </c>
      <c r="M912" s="22">
        <f>ROUND(K912*L912,2)</f>
        <v>554.44000000000005</v>
      </c>
      <c r="N912" s="8"/>
    </row>
    <row r="913" spans="1:14" ht="49.7" customHeight="1" thickBot="1" x14ac:dyDescent="0.25">
      <c r="A913" s="8"/>
      <c r="B913" s="8"/>
      <c r="C913" s="8"/>
      <c r="D913" s="60" t="s">
        <v>2018</v>
      </c>
      <c r="E913" s="60"/>
      <c r="F913" s="60"/>
      <c r="G913" s="60"/>
      <c r="H913" s="60"/>
      <c r="I913" s="60"/>
      <c r="J913" s="60"/>
      <c r="K913" s="60"/>
      <c r="L913" s="60"/>
      <c r="M913" s="60"/>
      <c r="N913" s="8"/>
    </row>
    <row r="914" spans="1:14" ht="15.4" customHeight="1" thickBot="1" x14ac:dyDescent="0.25">
      <c r="A914" s="8"/>
      <c r="B914" s="8"/>
      <c r="C914" s="8"/>
      <c r="D914" s="8"/>
      <c r="E914" s="23"/>
      <c r="F914" s="25" t="s">
        <v>2019</v>
      </c>
      <c r="G914" s="25" t="s">
        <v>2020</v>
      </c>
      <c r="H914" s="25" t="s">
        <v>2021</v>
      </c>
      <c r="I914" s="25" t="s">
        <v>2022</v>
      </c>
      <c r="J914" s="25" t="s">
        <v>2023</v>
      </c>
      <c r="K914" s="25" t="s">
        <v>2024</v>
      </c>
      <c r="L914" s="8"/>
      <c r="M914" s="8"/>
      <c r="N914" s="8"/>
    </row>
    <row r="915" spans="1:14" ht="15.4" customHeight="1" thickBot="1" x14ac:dyDescent="0.25">
      <c r="A915" s="8"/>
      <c r="B915" s="8"/>
      <c r="C915" s="8"/>
      <c r="D915" s="26"/>
      <c r="E915" s="27" t="s">
        <v>2025</v>
      </c>
      <c r="F915" s="28">
        <v>4</v>
      </c>
      <c r="G915" s="29"/>
      <c r="H915" s="29"/>
      <c r="I915" s="29"/>
      <c r="J915" s="31">
        <f>ROUND(F915,2)</f>
        <v>4</v>
      </c>
      <c r="K915" s="33">
        <f>SUM(J915:J915)</f>
        <v>4</v>
      </c>
      <c r="L915" s="8"/>
      <c r="M915" s="8"/>
      <c r="N915" s="8"/>
    </row>
    <row r="916" spans="1:14" ht="15.4" customHeight="1" thickBot="1" x14ac:dyDescent="0.25">
      <c r="A916" s="12" t="s">
        <v>2026</v>
      </c>
      <c r="B916" s="6" t="s">
        <v>2027</v>
      </c>
      <c r="C916" s="6" t="s">
        <v>2028</v>
      </c>
      <c r="D916" s="60" t="s">
        <v>2029</v>
      </c>
      <c r="E916" s="60"/>
      <c r="F916" s="60"/>
      <c r="G916" s="60"/>
      <c r="H916" s="60"/>
      <c r="I916" s="60"/>
      <c r="J916" s="60"/>
      <c r="K916" s="22">
        <f>SUM(K919:K920)</f>
        <v>3</v>
      </c>
      <c r="L916" s="22">
        <f>ROUND(138.59*(1+M2/100),2)</f>
        <v>138.59</v>
      </c>
      <c r="M916" s="22">
        <f>ROUND(K916*L916,2)</f>
        <v>415.77</v>
      </c>
      <c r="N916" s="8"/>
    </row>
    <row r="917" spans="1:14" ht="49.7" customHeight="1" thickBot="1" x14ac:dyDescent="0.25">
      <c r="A917" s="8"/>
      <c r="B917" s="8"/>
      <c r="C917" s="8"/>
      <c r="D917" s="60" t="s">
        <v>2030</v>
      </c>
      <c r="E917" s="60"/>
      <c r="F917" s="60"/>
      <c r="G917" s="60"/>
      <c r="H917" s="60"/>
      <c r="I917" s="60"/>
      <c r="J917" s="60"/>
      <c r="K917" s="60"/>
      <c r="L917" s="60"/>
      <c r="M917" s="60"/>
      <c r="N917" s="8"/>
    </row>
    <row r="918" spans="1:14" ht="15.4" customHeight="1" thickBot="1" x14ac:dyDescent="0.25">
      <c r="A918" s="8"/>
      <c r="B918" s="8"/>
      <c r="C918" s="8"/>
      <c r="D918" s="8"/>
      <c r="E918" s="23"/>
      <c r="F918" s="25" t="s">
        <v>2031</v>
      </c>
      <c r="G918" s="25" t="s">
        <v>2032</v>
      </c>
      <c r="H918" s="25" t="s">
        <v>2033</v>
      </c>
      <c r="I918" s="25" t="s">
        <v>2034</v>
      </c>
      <c r="J918" s="25" t="s">
        <v>2035</v>
      </c>
      <c r="K918" s="25" t="s">
        <v>2036</v>
      </c>
      <c r="L918" s="8"/>
      <c r="M918" s="8"/>
      <c r="N918" s="8"/>
    </row>
    <row r="919" spans="1:14" ht="15.4" customHeight="1" thickBot="1" x14ac:dyDescent="0.25">
      <c r="A919" s="8"/>
      <c r="B919" s="8"/>
      <c r="C919" s="8"/>
      <c r="D919" s="26"/>
      <c r="E919" s="27" t="s">
        <v>2037</v>
      </c>
      <c r="F919" s="28">
        <v>2</v>
      </c>
      <c r="G919" s="29"/>
      <c r="H919" s="29"/>
      <c r="I919" s="29"/>
      <c r="J919" s="31">
        <f>ROUND(F919,2)</f>
        <v>2</v>
      </c>
      <c r="K919" s="35"/>
      <c r="L919" s="8"/>
      <c r="M919" s="8"/>
      <c r="N919" s="8"/>
    </row>
    <row r="920" spans="1:14" ht="15.4" customHeight="1" thickBot="1" x14ac:dyDescent="0.25">
      <c r="A920" s="8"/>
      <c r="B920" s="8"/>
      <c r="C920" s="8"/>
      <c r="D920" s="26"/>
      <c r="E920" s="6" t="s">
        <v>2038</v>
      </c>
      <c r="F920" s="4">
        <v>1</v>
      </c>
      <c r="G920" s="22"/>
      <c r="H920" s="22"/>
      <c r="I920" s="22"/>
      <c r="J920" s="30">
        <f>ROUND(F920,2)</f>
        <v>1</v>
      </c>
      <c r="K920" s="32">
        <f>SUM(J919:J920)</f>
        <v>3</v>
      </c>
      <c r="L920" s="8"/>
      <c r="M920" s="8"/>
      <c r="N920" s="8"/>
    </row>
    <row r="921" spans="1:14" ht="15.4" customHeight="1" thickBot="1" x14ac:dyDescent="0.25">
      <c r="A921" s="12" t="s">
        <v>2039</v>
      </c>
      <c r="B921" s="6" t="s">
        <v>2040</v>
      </c>
      <c r="C921" s="6" t="s">
        <v>2041</v>
      </c>
      <c r="D921" s="60" t="s">
        <v>2042</v>
      </c>
      <c r="E921" s="60"/>
      <c r="F921" s="60"/>
      <c r="G921" s="60"/>
      <c r="H921" s="60"/>
      <c r="I921" s="60"/>
      <c r="J921" s="60"/>
      <c r="K921" s="22">
        <f>SUM(K924:K925)</f>
        <v>2</v>
      </c>
      <c r="L921" s="22">
        <f>ROUND(168.36*(1+M2/100),2)</f>
        <v>168.36</v>
      </c>
      <c r="M921" s="22">
        <f>ROUND(K921*L921,2)</f>
        <v>336.72</v>
      </c>
      <c r="N921" s="8"/>
    </row>
    <row r="922" spans="1:14" ht="49.7" customHeight="1" thickBot="1" x14ac:dyDescent="0.25">
      <c r="A922" s="8"/>
      <c r="B922" s="8"/>
      <c r="C922" s="8"/>
      <c r="D922" s="60" t="s">
        <v>2043</v>
      </c>
      <c r="E922" s="60"/>
      <c r="F922" s="60"/>
      <c r="G922" s="60"/>
      <c r="H922" s="60"/>
      <c r="I922" s="60"/>
      <c r="J922" s="60"/>
      <c r="K922" s="60"/>
      <c r="L922" s="60"/>
      <c r="M922" s="60"/>
      <c r="N922" s="8"/>
    </row>
    <row r="923" spans="1:14" ht="15.4" customHeight="1" thickBot="1" x14ac:dyDescent="0.25">
      <c r="A923" s="8"/>
      <c r="B923" s="8"/>
      <c r="C923" s="8"/>
      <c r="D923" s="8"/>
      <c r="E923" s="23"/>
      <c r="F923" s="25" t="s">
        <v>2044</v>
      </c>
      <c r="G923" s="25" t="s">
        <v>2045</v>
      </c>
      <c r="H923" s="25" t="s">
        <v>2046</v>
      </c>
      <c r="I923" s="25" t="s">
        <v>2047</v>
      </c>
      <c r="J923" s="25" t="s">
        <v>2048</v>
      </c>
      <c r="K923" s="25" t="s">
        <v>2049</v>
      </c>
      <c r="L923" s="8"/>
      <c r="M923" s="8"/>
      <c r="N923" s="8"/>
    </row>
    <row r="924" spans="1:14" ht="15.4" customHeight="1" thickBot="1" x14ac:dyDescent="0.25">
      <c r="A924" s="8"/>
      <c r="B924" s="8"/>
      <c r="C924" s="8"/>
      <c r="D924" s="26"/>
      <c r="E924" s="27" t="s">
        <v>2050</v>
      </c>
      <c r="F924" s="28">
        <v>1</v>
      </c>
      <c r="G924" s="29"/>
      <c r="H924" s="29"/>
      <c r="I924" s="29"/>
      <c r="J924" s="31">
        <f>ROUND(F924,2)</f>
        <v>1</v>
      </c>
      <c r="K924" s="35"/>
      <c r="L924" s="8"/>
      <c r="M924" s="8"/>
      <c r="N924" s="8"/>
    </row>
    <row r="925" spans="1:14" ht="15.4" customHeight="1" thickBot="1" x14ac:dyDescent="0.25">
      <c r="A925" s="8"/>
      <c r="B925" s="8"/>
      <c r="C925" s="8"/>
      <c r="D925" s="26"/>
      <c r="E925" s="6" t="s">
        <v>2051</v>
      </c>
      <c r="F925" s="4">
        <v>1</v>
      </c>
      <c r="G925" s="22"/>
      <c r="H925" s="22"/>
      <c r="I925" s="22"/>
      <c r="J925" s="30">
        <f>ROUND(F925,2)</f>
        <v>1</v>
      </c>
      <c r="K925" s="32">
        <f>SUM(J924:J925)</f>
        <v>2</v>
      </c>
      <c r="L925" s="8"/>
      <c r="M925" s="8"/>
      <c r="N925" s="8"/>
    </row>
    <row r="926" spans="1:14" ht="15.4" customHeight="1" thickBot="1" x14ac:dyDescent="0.25">
      <c r="A926" s="12" t="s">
        <v>2052</v>
      </c>
      <c r="B926" s="6" t="s">
        <v>2053</v>
      </c>
      <c r="C926" s="6" t="s">
        <v>2054</v>
      </c>
      <c r="D926" s="60" t="s">
        <v>2055</v>
      </c>
      <c r="E926" s="60"/>
      <c r="F926" s="60"/>
      <c r="G926" s="60"/>
      <c r="H926" s="60"/>
      <c r="I926" s="60"/>
      <c r="J926" s="60"/>
      <c r="K926" s="22">
        <f>SUM(K929:K930)</f>
        <v>3</v>
      </c>
      <c r="L926" s="22">
        <f>ROUND(168.4*(1+M2/100),2)</f>
        <v>168.4</v>
      </c>
      <c r="M926" s="22">
        <f>ROUND(K926*L926,2)</f>
        <v>505.2</v>
      </c>
      <c r="N926" s="8"/>
    </row>
    <row r="927" spans="1:14" ht="49.7" customHeight="1" thickBot="1" x14ac:dyDescent="0.25">
      <c r="A927" s="8"/>
      <c r="B927" s="8"/>
      <c r="C927" s="8"/>
      <c r="D927" s="60" t="s">
        <v>2056</v>
      </c>
      <c r="E927" s="60"/>
      <c r="F927" s="60"/>
      <c r="G927" s="60"/>
      <c r="H927" s="60"/>
      <c r="I927" s="60"/>
      <c r="J927" s="60"/>
      <c r="K927" s="60"/>
      <c r="L927" s="60"/>
      <c r="M927" s="60"/>
      <c r="N927" s="8"/>
    </row>
    <row r="928" spans="1:14" ht="15.4" customHeight="1" thickBot="1" x14ac:dyDescent="0.25">
      <c r="A928" s="8"/>
      <c r="B928" s="8"/>
      <c r="C928" s="8"/>
      <c r="D928" s="8"/>
      <c r="E928" s="23"/>
      <c r="F928" s="25" t="s">
        <v>2057</v>
      </c>
      <c r="G928" s="25" t="s">
        <v>2058</v>
      </c>
      <c r="H928" s="25" t="s">
        <v>2059</v>
      </c>
      <c r="I928" s="25" t="s">
        <v>2060</v>
      </c>
      <c r="J928" s="25" t="s">
        <v>2061</v>
      </c>
      <c r="K928" s="25" t="s">
        <v>2062</v>
      </c>
      <c r="L928" s="8"/>
      <c r="M928" s="8"/>
      <c r="N928" s="8"/>
    </row>
    <row r="929" spans="1:14" ht="15.4" customHeight="1" thickBot="1" x14ac:dyDescent="0.25">
      <c r="A929" s="8"/>
      <c r="B929" s="8"/>
      <c r="C929" s="8"/>
      <c r="D929" s="26"/>
      <c r="E929" s="27" t="s">
        <v>2063</v>
      </c>
      <c r="F929" s="28">
        <v>1</v>
      </c>
      <c r="G929" s="29"/>
      <c r="H929" s="29"/>
      <c r="I929" s="29"/>
      <c r="J929" s="31">
        <f>ROUND(F929,2)</f>
        <v>1</v>
      </c>
      <c r="K929" s="35"/>
      <c r="L929" s="8"/>
      <c r="M929" s="8"/>
      <c r="N929" s="8"/>
    </row>
    <row r="930" spans="1:14" ht="15.4" customHeight="1" thickBot="1" x14ac:dyDescent="0.25">
      <c r="A930" s="8"/>
      <c r="B930" s="8"/>
      <c r="C930" s="8"/>
      <c r="D930" s="26"/>
      <c r="E930" s="6" t="s">
        <v>2064</v>
      </c>
      <c r="F930" s="4">
        <v>2</v>
      </c>
      <c r="G930" s="22"/>
      <c r="H930" s="22"/>
      <c r="I930" s="22"/>
      <c r="J930" s="30">
        <f>ROUND(F930,2)</f>
        <v>2</v>
      </c>
      <c r="K930" s="32">
        <f>SUM(J929:J930)</f>
        <v>3</v>
      </c>
      <c r="L930" s="8"/>
      <c r="M930" s="8"/>
      <c r="N930" s="8"/>
    </row>
    <row r="931" spans="1:14" ht="15.4" customHeight="1" thickBot="1" x14ac:dyDescent="0.25">
      <c r="A931" s="12" t="s">
        <v>2065</v>
      </c>
      <c r="B931" s="6" t="s">
        <v>2066</v>
      </c>
      <c r="C931" s="6" t="s">
        <v>2067</v>
      </c>
      <c r="D931" s="60" t="s">
        <v>2068</v>
      </c>
      <c r="E931" s="60"/>
      <c r="F931" s="60"/>
      <c r="G931" s="60"/>
      <c r="H931" s="60"/>
      <c r="I931" s="60"/>
      <c r="J931" s="60"/>
      <c r="K931" s="22">
        <f>SUM(K934:K934)</f>
        <v>325</v>
      </c>
      <c r="L931" s="22">
        <f>ROUND(27.91*(1+M2/100),2)</f>
        <v>27.91</v>
      </c>
      <c r="M931" s="22">
        <f>ROUND(K931*L931,2)</f>
        <v>9070.75</v>
      </c>
      <c r="N931" s="8"/>
    </row>
    <row r="932" spans="1:14" ht="30.95" customHeight="1" thickBot="1" x14ac:dyDescent="0.25">
      <c r="A932" s="8"/>
      <c r="B932" s="8"/>
      <c r="C932" s="8"/>
      <c r="D932" s="60" t="s">
        <v>2069</v>
      </c>
      <c r="E932" s="60"/>
      <c r="F932" s="60"/>
      <c r="G932" s="60"/>
      <c r="H932" s="60"/>
      <c r="I932" s="60"/>
      <c r="J932" s="60"/>
      <c r="K932" s="60"/>
      <c r="L932" s="60"/>
      <c r="M932" s="60"/>
      <c r="N932" s="8"/>
    </row>
    <row r="933" spans="1:14" ht="15.4" customHeight="1" thickBot="1" x14ac:dyDescent="0.25">
      <c r="A933" s="8"/>
      <c r="B933" s="8"/>
      <c r="C933" s="8"/>
      <c r="D933" s="8"/>
      <c r="E933" s="23"/>
      <c r="F933" s="25" t="s">
        <v>2070</v>
      </c>
      <c r="G933" s="25" t="s">
        <v>2071</v>
      </c>
      <c r="H933" s="25" t="s">
        <v>2072</v>
      </c>
      <c r="I933" s="25" t="s">
        <v>2073</v>
      </c>
      <c r="J933" s="25" t="s">
        <v>2074</v>
      </c>
      <c r="K933" s="25" t="s">
        <v>2075</v>
      </c>
      <c r="L933" s="8"/>
      <c r="M933" s="8"/>
      <c r="N933" s="8"/>
    </row>
    <row r="934" spans="1:14" ht="15.4" customHeight="1" thickBot="1" x14ac:dyDescent="0.25">
      <c r="A934" s="8"/>
      <c r="B934" s="8"/>
      <c r="C934" s="8"/>
      <c r="D934" s="26"/>
      <c r="E934" s="27"/>
      <c r="F934" s="28">
        <v>1</v>
      </c>
      <c r="G934" s="29">
        <v>325</v>
      </c>
      <c r="H934" s="29"/>
      <c r="I934" s="29"/>
      <c r="J934" s="31">
        <f>ROUND(F934*G934,2)</f>
        <v>325</v>
      </c>
      <c r="K934" s="33">
        <f>SUM(J934:J934)</f>
        <v>325</v>
      </c>
      <c r="L934" s="8"/>
      <c r="M934" s="8"/>
      <c r="N934" s="8"/>
    </row>
    <row r="935" spans="1:14" ht="15.4" customHeight="1" thickBot="1" x14ac:dyDescent="0.25">
      <c r="A935" s="12" t="s">
        <v>2076</v>
      </c>
      <c r="B935" s="6" t="s">
        <v>2077</v>
      </c>
      <c r="C935" s="6" t="s">
        <v>2078</v>
      </c>
      <c r="D935" s="60" t="s">
        <v>2079</v>
      </c>
      <c r="E935" s="60"/>
      <c r="F935" s="60"/>
      <c r="G935" s="60"/>
      <c r="H935" s="60"/>
      <c r="I935" s="60"/>
      <c r="J935" s="60"/>
      <c r="K935" s="22">
        <f>SUM(K938:K938)</f>
        <v>85</v>
      </c>
      <c r="L935" s="22">
        <f>ROUND(30.39*(1+M2/100),2)</f>
        <v>30.39</v>
      </c>
      <c r="M935" s="22">
        <f>ROUND(K935*L935,2)</f>
        <v>2583.15</v>
      </c>
      <c r="N935" s="8"/>
    </row>
    <row r="936" spans="1:14" ht="30.95" customHeight="1" thickBot="1" x14ac:dyDescent="0.25">
      <c r="A936" s="8"/>
      <c r="B936" s="8"/>
      <c r="C936" s="8"/>
      <c r="D936" s="60" t="s">
        <v>2080</v>
      </c>
      <c r="E936" s="60"/>
      <c r="F936" s="60"/>
      <c r="G936" s="60"/>
      <c r="H936" s="60"/>
      <c r="I936" s="60"/>
      <c r="J936" s="60"/>
      <c r="K936" s="60"/>
      <c r="L936" s="60"/>
      <c r="M936" s="60"/>
      <c r="N936" s="8"/>
    </row>
    <row r="937" spans="1:14" ht="15.4" customHeight="1" thickBot="1" x14ac:dyDescent="0.25">
      <c r="A937" s="8"/>
      <c r="B937" s="8"/>
      <c r="C937" s="8"/>
      <c r="D937" s="8"/>
      <c r="E937" s="23"/>
      <c r="F937" s="25" t="s">
        <v>2081</v>
      </c>
      <c r="G937" s="25" t="s">
        <v>2082</v>
      </c>
      <c r="H937" s="25" t="s">
        <v>2083</v>
      </c>
      <c r="I937" s="25" t="s">
        <v>2084</v>
      </c>
      <c r="J937" s="25" t="s">
        <v>2085</v>
      </c>
      <c r="K937" s="25" t="s">
        <v>2086</v>
      </c>
      <c r="L937" s="8"/>
      <c r="M937" s="8"/>
      <c r="N937" s="8"/>
    </row>
    <row r="938" spans="1:14" ht="15.4" customHeight="1" thickBot="1" x14ac:dyDescent="0.25">
      <c r="A938" s="8"/>
      <c r="B938" s="8"/>
      <c r="C938" s="8"/>
      <c r="D938" s="26"/>
      <c r="E938" s="27"/>
      <c r="F938" s="28">
        <v>1</v>
      </c>
      <c r="G938" s="29">
        <v>85</v>
      </c>
      <c r="H938" s="29"/>
      <c r="I938" s="29"/>
      <c r="J938" s="31">
        <f>ROUND(F938*G938,2)</f>
        <v>85</v>
      </c>
      <c r="K938" s="33">
        <f>SUM(J938:J938)</f>
        <v>85</v>
      </c>
      <c r="L938" s="8"/>
      <c r="M938" s="8"/>
      <c r="N938" s="8"/>
    </row>
    <row r="939" spans="1:14" ht="15.4" customHeight="1" thickBot="1" x14ac:dyDescent="0.25">
      <c r="A939" s="12" t="s">
        <v>2087</v>
      </c>
      <c r="B939" s="6" t="s">
        <v>2088</v>
      </c>
      <c r="C939" s="6" t="s">
        <v>2089</v>
      </c>
      <c r="D939" s="60" t="s">
        <v>2090</v>
      </c>
      <c r="E939" s="60"/>
      <c r="F939" s="60"/>
      <c r="G939" s="60"/>
      <c r="H939" s="60"/>
      <c r="I939" s="60"/>
      <c r="J939" s="60"/>
      <c r="K939" s="22">
        <f>SUM(K942:K942)</f>
        <v>125</v>
      </c>
      <c r="L939" s="22">
        <f>ROUND(33.82*(1+M2/100),2)</f>
        <v>33.82</v>
      </c>
      <c r="M939" s="22">
        <f>ROUND(K939*L939,2)</f>
        <v>4227.5</v>
      </c>
      <c r="N939" s="8"/>
    </row>
    <row r="940" spans="1:14" ht="30.95" customHeight="1" thickBot="1" x14ac:dyDescent="0.25">
      <c r="A940" s="8"/>
      <c r="B940" s="8"/>
      <c r="C940" s="8"/>
      <c r="D940" s="60" t="s">
        <v>2091</v>
      </c>
      <c r="E940" s="60"/>
      <c r="F940" s="60"/>
      <c r="G940" s="60"/>
      <c r="H940" s="60"/>
      <c r="I940" s="60"/>
      <c r="J940" s="60"/>
      <c r="K940" s="60"/>
      <c r="L940" s="60"/>
      <c r="M940" s="60"/>
      <c r="N940" s="8"/>
    </row>
    <row r="941" spans="1:14" ht="15.4" customHeight="1" thickBot="1" x14ac:dyDescent="0.25">
      <c r="A941" s="8"/>
      <c r="B941" s="8"/>
      <c r="C941" s="8"/>
      <c r="D941" s="8"/>
      <c r="E941" s="23"/>
      <c r="F941" s="25" t="s">
        <v>2092</v>
      </c>
      <c r="G941" s="25" t="s">
        <v>2093</v>
      </c>
      <c r="H941" s="25" t="s">
        <v>2094</v>
      </c>
      <c r="I941" s="25" t="s">
        <v>2095</v>
      </c>
      <c r="J941" s="25" t="s">
        <v>2096</v>
      </c>
      <c r="K941" s="25" t="s">
        <v>2097</v>
      </c>
      <c r="L941" s="8"/>
      <c r="M941" s="8"/>
      <c r="N941" s="8"/>
    </row>
    <row r="942" spans="1:14" ht="15.4" customHeight="1" thickBot="1" x14ac:dyDescent="0.25">
      <c r="A942" s="8"/>
      <c r="B942" s="8"/>
      <c r="C942" s="8"/>
      <c r="D942" s="26"/>
      <c r="E942" s="27"/>
      <c r="F942" s="28">
        <v>1</v>
      </c>
      <c r="G942" s="29">
        <v>125</v>
      </c>
      <c r="H942" s="29"/>
      <c r="I942" s="29"/>
      <c r="J942" s="31">
        <f>ROUND(F942*G942,2)</f>
        <v>125</v>
      </c>
      <c r="K942" s="33">
        <f>SUM(J942:J942)</f>
        <v>125</v>
      </c>
      <c r="L942" s="8"/>
      <c r="M942" s="8"/>
      <c r="N942" s="8"/>
    </row>
    <row r="943" spans="1:14" ht="15.4" customHeight="1" thickBot="1" x14ac:dyDescent="0.25">
      <c r="A943" s="12" t="s">
        <v>2098</v>
      </c>
      <c r="B943" s="6" t="s">
        <v>2099</v>
      </c>
      <c r="C943" s="6" t="s">
        <v>2100</v>
      </c>
      <c r="D943" s="60" t="s">
        <v>2101</v>
      </c>
      <c r="E943" s="60"/>
      <c r="F943" s="60"/>
      <c r="G943" s="60"/>
      <c r="H943" s="60"/>
      <c r="I943" s="60"/>
      <c r="J943" s="60"/>
      <c r="K943" s="22">
        <f>SUM(K946:K946)</f>
        <v>4</v>
      </c>
      <c r="L943" s="22">
        <f>ROUND(5.65*(1+M2/100),2)</f>
        <v>5.65</v>
      </c>
      <c r="M943" s="22">
        <f>ROUND(K943*L943,2)</f>
        <v>22.6</v>
      </c>
      <c r="N943" s="8"/>
    </row>
    <row r="944" spans="1:14" ht="40.35" customHeight="1" thickBot="1" x14ac:dyDescent="0.25">
      <c r="A944" s="8"/>
      <c r="B944" s="8"/>
      <c r="C944" s="8"/>
      <c r="D944" s="60" t="s">
        <v>2102</v>
      </c>
      <c r="E944" s="60"/>
      <c r="F944" s="60"/>
      <c r="G944" s="60"/>
      <c r="H944" s="60"/>
      <c r="I944" s="60"/>
      <c r="J944" s="60"/>
      <c r="K944" s="60"/>
      <c r="L944" s="60"/>
      <c r="M944" s="60"/>
      <c r="N944" s="8"/>
    </row>
    <row r="945" spans="1:14" ht="15.4" customHeight="1" thickBot="1" x14ac:dyDescent="0.25">
      <c r="A945" s="8"/>
      <c r="B945" s="8"/>
      <c r="C945" s="8"/>
      <c r="D945" s="8"/>
      <c r="E945" s="23"/>
      <c r="F945" s="25" t="s">
        <v>2103</v>
      </c>
      <c r="G945" s="25" t="s">
        <v>2104</v>
      </c>
      <c r="H945" s="25" t="s">
        <v>2105</v>
      </c>
      <c r="I945" s="25" t="s">
        <v>2106</v>
      </c>
      <c r="J945" s="25" t="s">
        <v>2107</v>
      </c>
      <c r="K945" s="25" t="s">
        <v>2108</v>
      </c>
      <c r="L945" s="8"/>
      <c r="M945" s="8"/>
      <c r="N945" s="8"/>
    </row>
    <row r="946" spans="1:14" ht="15.4" customHeight="1" thickBot="1" x14ac:dyDescent="0.25">
      <c r="A946" s="8"/>
      <c r="B946" s="8"/>
      <c r="C946" s="8"/>
      <c r="D946" s="26"/>
      <c r="E946" s="27" t="s">
        <v>2109</v>
      </c>
      <c r="F946" s="28">
        <v>4</v>
      </c>
      <c r="G946" s="29"/>
      <c r="H946" s="29"/>
      <c r="I946" s="29"/>
      <c r="J946" s="31">
        <f>ROUND(F946,2)</f>
        <v>4</v>
      </c>
      <c r="K946" s="33">
        <f>SUM(J946:J946)</f>
        <v>4</v>
      </c>
      <c r="L946" s="8"/>
      <c r="M946" s="8"/>
      <c r="N946" s="8"/>
    </row>
    <row r="947" spans="1:14" ht="15.4" customHeight="1" thickBot="1" x14ac:dyDescent="0.25">
      <c r="A947" s="12" t="s">
        <v>2110</v>
      </c>
      <c r="B947" s="6" t="s">
        <v>2111</v>
      </c>
      <c r="C947" s="6" t="s">
        <v>2112</v>
      </c>
      <c r="D947" s="60" t="s">
        <v>2113</v>
      </c>
      <c r="E947" s="60"/>
      <c r="F947" s="60"/>
      <c r="G947" s="60"/>
      <c r="H947" s="60"/>
      <c r="I947" s="60"/>
      <c r="J947" s="60"/>
      <c r="K947" s="22">
        <f>SUM(K950:K950)</f>
        <v>250</v>
      </c>
      <c r="L947" s="22">
        <f>ROUND(5.05*(1+M2/100),2)</f>
        <v>5.05</v>
      </c>
      <c r="M947" s="22">
        <f>ROUND(K947*L947,2)</f>
        <v>1262.5</v>
      </c>
      <c r="N947" s="8"/>
    </row>
    <row r="948" spans="1:14" ht="30.95" customHeight="1" thickBot="1" x14ac:dyDescent="0.25">
      <c r="A948" s="8"/>
      <c r="B948" s="8"/>
      <c r="C948" s="8"/>
      <c r="D948" s="60" t="s">
        <v>2114</v>
      </c>
      <c r="E948" s="60"/>
      <c r="F948" s="60"/>
      <c r="G948" s="60"/>
      <c r="H948" s="60"/>
      <c r="I948" s="60"/>
      <c r="J948" s="60"/>
      <c r="K948" s="60"/>
      <c r="L948" s="60"/>
      <c r="M948" s="60"/>
      <c r="N948" s="8"/>
    </row>
    <row r="949" spans="1:14" ht="15.4" customHeight="1" thickBot="1" x14ac:dyDescent="0.25">
      <c r="A949" s="8"/>
      <c r="B949" s="8"/>
      <c r="C949" s="8"/>
      <c r="D949" s="8"/>
      <c r="E949" s="23"/>
      <c r="F949" s="25" t="s">
        <v>2115</v>
      </c>
      <c r="G949" s="25" t="s">
        <v>2116</v>
      </c>
      <c r="H949" s="25" t="s">
        <v>2117</v>
      </c>
      <c r="I949" s="25" t="s">
        <v>2118</v>
      </c>
      <c r="J949" s="25" t="s">
        <v>2119</v>
      </c>
      <c r="K949" s="25" t="s">
        <v>2120</v>
      </c>
      <c r="L949" s="8"/>
      <c r="M949" s="8"/>
      <c r="N949" s="8"/>
    </row>
    <row r="950" spans="1:14" ht="15.4" customHeight="1" thickBot="1" x14ac:dyDescent="0.25">
      <c r="A950" s="8"/>
      <c r="B950" s="8"/>
      <c r="C950" s="8"/>
      <c r="D950" s="26"/>
      <c r="E950" s="27" t="s">
        <v>2121</v>
      </c>
      <c r="F950" s="28">
        <v>1</v>
      </c>
      <c r="G950" s="29">
        <v>250</v>
      </c>
      <c r="H950" s="29"/>
      <c r="I950" s="29"/>
      <c r="J950" s="31">
        <f>ROUND(F950*G950,2)</f>
        <v>250</v>
      </c>
      <c r="K950" s="33">
        <f>SUM(J950:J950)</f>
        <v>250</v>
      </c>
      <c r="L950" s="8"/>
      <c r="M950" s="8"/>
      <c r="N950" s="8"/>
    </row>
    <row r="951" spans="1:14" ht="15.4" customHeight="1" thickBot="1" x14ac:dyDescent="0.25">
      <c r="A951" s="12" t="s">
        <v>2122</v>
      </c>
      <c r="B951" s="6" t="s">
        <v>2123</v>
      </c>
      <c r="C951" s="6" t="s">
        <v>2124</v>
      </c>
      <c r="D951" s="60" t="s">
        <v>2125</v>
      </c>
      <c r="E951" s="60"/>
      <c r="F951" s="60"/>
      <c r="G951" s="60"/>
      <c r="H951" s="60"/>
      <c r="I951" s="60"/>
      <c r="J951" s="60"/>
      <c r="K951" s="22">
        <f>SUM(K954:K954)</f>
        <v>250</v>
      </c>
      <c r="L951" s="22">
        <f>ROUND(6.58*(1+M2/100),2)</f>
        <v>6.58</v>
      </c>
      <c r="M951" s="22">
        <f>ROUND(K951*L951,2)</f>
        <v>1645</v>
      </c>
      <c r="N951" s="8"/>
    </row>
    <row r="952" spans="1:14" ht="30.95" customHeight="1" thickBot="1" x14ac:dyDescent="0.25">
      <c r="A952" s="8"/>
      <c r="B952" s="8"/>
      <c r="C952" s="8"/>
      <c r="D952" s="60" t="s">
        <v>2126</v>
      </c>
      <c r="E952" s="60"/>
      <c r="F952" s="60"/>
      <c r="G952" s="60"/>
      <c r="H952" s="60"/>
      <c r="I952" s="60"/>
      <c r="J952" s="60"/>
      <c r="K952" s="60"/>
      <c r="L952" s="60"/>
      <c r="M952" s="60"/>
      <c r="N952" s="8"/>
    </row>
    <row r="953" spans="1:14" ht="15.4" customHeight="1" thickBot="1" x14ac:dyDescent="0.25">
      <c r="A953" s="8"/>
      <c r="B953" s="8"/>
      <c r="C953" s="8"/>
      <c r="D953" s="8"/>
      <c r="E953" s="23"/>
      <c r="F953" s="25" t="s">
        <v>2127</v>
      </c>
      <c r="G953" s="25" t="s">
        <v>2128</v>
      </c>
      <c r="H953" s="25" t="s">
        <v>2129</v>
      </c>
      <c r="I953" s="25" t="s">
        <v>2130</v>
      </c>
      <c r="J953" s="25" t="s">
        <v>2131</v>
      </c>
      <c r="K953" s="25" t="s">
        <v>2132</v>
      </c>
      <c r="L953" s="8"/>
      <c r="M953" s="8"/>
      <c r="N953" s="8"/>
    </row>
    <row r="954" spans="1:14" ht="15.4" customHeight="1" thickBot="1" x14ac:dyDescent="0.25">
      <c r="A954" s="8"/>
      <c r="B954" s="8"/>
      <c r="C954" s="8"/>
      <c r="D954" s="26"/>
      <c r="E954" s="27" t="s">
        <v>2133</v>
      </c>
      <c r="F954" s="28">
        <v>1</v>
      </c>
      <c r="G954" s="29">
        <v>250</v>
      </c>
      <c r="H954" s="29"/>
      <c r="I954" s="29"/>
      <c r="J954" s="31">
        <f>ROUND(F954*G954,2)</f>
        <v>250</v>
      </c>
      <c r="K954" s="33">
        <f>SUM(J954:J954)</f>
        <v>250</v>
      </c>
      <c r="L954" s="8"/>
      <c r="M954" s="8"/>
      <c r="N954" s="8"/>
    </row>
    <row r="955" spans="1:14" ht="15.4" customHeight="1" thickBot="1" x14ac:dyDescent="0.25">
      <c r="A955" s="36"/>
      <c r="B955" s="36"/>
      <c r="C955" s="36"/>
      <c r="D955" s="37" t="s">
        <v>2134</v>
      </c>
      <c r="E955" s="38"/>
      <c r="F955" s="38"/>
      <c r="G955" s="38"/>
      <c r="H955" s="38"/>
      <c r="I955" s="38"/>
      <c r="J955" s="38"/>
      <c r="K955" s="38"/>
      <c r="L955" s="39">
        <f>M847+M851+M855+M859+M863+M867+M871+M875+M879+M883+M887+M891+M908+M912+M916+M921+M926+M931+M935+M939+M943+M947+M951</f>
        <v>52372.52</v>
      </c>
      <c r="M955" s="39">
        <f>ROUND(L955,2)</f>
        <v>52372.52</v>
      </c>
      <c r="N955" s="8"/>
    </row>
    <row r="956" spans="1:14" ht="15.4" customHeight="1" thickBot="1" x14ac:dyDescent="0.25">
      <c r="A956" s="40" t="s">
        <v>2135</v>
      </c>
      <c r="B956" s="40" t="s">
        <v>2136</v>
      </c>
      <c r="C956" s="41"/>
      <c r="D956" s="61" t="s">
        <v>2137</v>
      </c>
      <c r="E956" s="61"/>
      <c r="F956" s="61"/>
      <c r="G956" s="61"/>
      <c r="H956" s="61"/>
      <c r="I956" s="61"/>
      <c r="J956" s="61"/>
      <c r="K956" s="41"/>
      <c r="L956" s="42">
        <f>L1017</f>
        <v>13836.74</v>
      </c>
      <c r="M956" s="42">
        <f>ROUND(L956,2)</f>
        <v>13836.74</v>
      </c>
      <c r="N956" s="8"/>
    </row>
    <row r="957" spans="1:14" ht="15.4" customHeight="1" thickBot="1" x14ac:dyDescent="0.25">
      <c r="A957" s="12" t="s">
        <v>2138</v>
      </c>
      <c r="B957" s="6" t="s">
        <v>2139</v>
      </c>
      <c r="C957" s="6" t="s">
        <v>2140</v>
      </c>
      <c r="D957" s="60" t="s">
        <v>2141</v>
      </c>
      <c r="E957" s="60"/>
      <c r="F957" s="60"/>
      <c r="G957" s="60"/>
      <c r="H957" s="60"/>
      <c r="I957" s="60"/>
      <c r="J957" s="60"/>
      <c r="K957" s="22">
        <f>SUM(K960:K960)</f>
        <v>1</v>
      </c>
      <c r="L957" s="22">
        <f>ROUND(230.12*(1+M2/100),2)</f>
        <v>230.12</v>
      </c>
      <c r="M957" s="22">
        <f>ROUND(K957*L957,2)</f>
        <v>230.12</v>
      </c>
      <c r="N957" s="8"/>
    </row>
    <row r="958" spans="1:14" ht="30.95" customHeight="1" thickBot="1" x14ac:dyDescent="0.25">
      <c r="A958" s="8"/>
      <c r="B958" s="8"/>
      <c r="C958" s="8"/>
      <c r="D958" s="60" t="s">
        <v>2142</v>
      </c>
      <c r="E958" s="60"/>
      <c r="F958" s="60"/>
      <c r="G958" s="60"/>
      <c r="H958" s="60"/>
      <c r="I958" s="60"/>
      <c r="J958" s="60"/>
      <c r="K958" s="60"/>
      <c r="L958" s="60"/>
      <c r="M958" s="60"/>
      <c r="N958" s="8"/>
    </row>
    <row r="959" spans="1:14" ht="15.4" customHeight="1" thickBot="1" x14ac:dyDescent="0.25">
      <c r="A959" s="8"/>
      <c r="B959" s="8"/>
      <c r="C959" s="8"/>
      <c r="D959" s="8"/>
      <c r="E959" s="23"/>
      <c r="F959" s="25" t="s">
        <v>2143</v>
      </c>
      <c r="G959" s="25" t="s">
        <v>2144</v>
      </c>
      <c r="H959" s="25" t="s">
        <v>2145</v>
      </c>
      <c r="I959" s="25" t="s">
        <v>2146</v>
      </c>
      <c r="J959" s="25" t="s">
        <v>2147</v>
      </c>
      <c r="K959" s="25" t="s">
        <v>2148</v>
      </c>
      <c r="L959" s="8"/>
      <c r="M959" s="8"/>
      <c r="N959" s="8"/>
    </row>
    <row r="960" spans="1:14" ht="15.4" customHeight="1" thickBot="1" x14ac:dyDescent="0.25">
      <c r="A960" s="8"/>
      <c r="B960" s="8"/>
      <c r="C960" s="8"/>
      <c r="D960" s="26"/>
      <c r="E960" s="27"/>
      <c r="F960" s="28">
        <v>1</v>
      </c>
      <c r="G960" s="29"/>
      <c r="H960" s="29"/>
      <c r="I960" s="29"/>
      <c r="J960" s="31">
        <f>ROUND(F960,2)</f>
        <v>1</v>
      </c>
      <c r="K960" s="33">
        <f>SUM(J960:J960)</f>
        <v>1</v>
      </c>
      <c r="L960" s="8"/>
      <c r="M960" s="8"/>
      <c r="N960" s="8"/>
    </row>
    <row r="961" spans="1:14" ht="15.4" customHeight="1" thickBot="1" x14ac:dyDescent="0.25">
      <c r="A961" s="12" t="s">
        <v>2149</v>
      </c>
      <c r="B961" s="6" t="s">
        <v>2150</v>
      </c>
      <c r="C961" s="6" t="s">
        <v>2151</v>
      </c>
      <c r="D961" s="60" t="s">
        <v>2152</v>
      </c>
      <c r="E961" s="60"/>
      <c r="F961" s="60"/>
      <c r="G961" s="60"/>
      <c r="H961" s="60"/>
      <c r="I961" s="60"/>
      <c r="J961" s="60"/>
      <c r="K961" s="22">
        <f>SUM(K964:K966)</f>
        <v>43</v>
      </c>
      <c r="L961" s="22">
        <f>ROUND(48.73*(1+M2/100),2)</f>
        <v>48.73</v>
      </c>
      <c r="M961" s="22">
        <f>ROUND(K961*L961,2)</f>
        <v>2095.39</v>
      </c>
      <c r="N961" s="8"/>
    </row>
    <row r="962" spans="1:14" ht="30.95" customHeight="1" thickBot="1" x14ac:dyDescent="0.25">
      <c r="A962" s="8"/>
      <c r="B962" s="8"/>
      <c r="C962" s="8"/>
      <c r="D962" s="60" t="s">
        <v>2153</v>
      </c>
      <c r="E962" s="60"/>
      <c r="F962" s="60"/>
      <c r="G962" s="60"/>
      <c r="H962" s="60"/>
      <c r="I962" s="60"/>
      <c r="J962" s="60"/>
      <c r="K962" s="60"/>
      <c r="L962" s="60"/>
      <c r="M962" s="60"/>
      <c r="N962" s="8"/>
    </row>
    <row r="963" spans="1:14" ht="15.4" customHeight="1" thickBot="1" x14ac:dyDescent="0.25">
      <c r="A963" s="8"/>
      <c r="B963" s="8"/>
      <c r="C963" s="8"/>
      <c r="D963" s="8"/>
      <c r="E963" s="23"/>
      <c r="F963" s="25" t="s">
        <v>2154</v>
      </c>
      <c r="G963" s="25" t="s">
        <v>2155</v>
      </c>
      <c r="H963" s="25" t="s">
        <v>2156</v>
      </c>
      <c r="I963" s="25" t="s">
        <v>2157</v>
      </c>
      <c r="J963" s="25" t="s">
        <v>2158</v>
      </c>
      <c r="K963" s="25" t="s">
        <v>2159</v>
      </c>
      <c r="L963" s="8"/>
      <c r="M963" s="8"/>
      <c r="N963" s="8"/>
    </row>
    <row r="964" spans="1:14" ht="15.4" customHeight="1" thickBot="1" x14ac:dyDescent="0.25">
      <c r="A964" s="8"/>
      <c r="B964" s="8"/>
      <c r="C964" s="8"/>
      <c r="D964" s="26"/>
      <c r="E964" s="27" t="s">
        <v>2160</v>
      </c>
      <c r="F964" s="28">
        <v>15</v>
      </c>
      <c r="G964" s="29"/>
      <c r="H964" s="29"/>
      <c r="I964" s="29"/>
      <c r="J964" s="31">
        <f>ROUND(F964,2)</f>
        <v>15</v>
      </c>
      <c r="K964" s="35"/>
      <c r="L964" s="8"/>
      <c r="M964" s="8"/>
      <c r="N964" s="8"/>
    </row>
    <row r="965" spans="1:14" ht="15.4" customHeight="1" thickBot="1" x14ac:dyDescent="0.25">
      <c r="A965" s="8"/>
      <c r="B965" s="8"/>
      <c r="C965" s="8"/>
      <c r="D965" s="26"/>
      <c r="E965" s="6" t="s">
        <v>2161</v>
      </c>
      <c r="F965" s="4">
        <v>24</v>
      </c>
      <c r="G965" s="22"/>
      <c r="H965" s="22"/>
      <c r="I965" s="22"/>
      <c r="J965" s="30">
        <f>ROUND(F965,2)</f>
        <v>24</v>
      </c>
      <c r="K965" s="8"/>
      <c r="L965" s="8"/>
      <c r="M965" s="8"/>
      <c r="N965" s="8"/>
    </row>
    <row r="966" spans="1:14" ht="15.4" customHeight="1" thickBot="1" x14ac:dyDescent="0.25">
      <c r="A966" s="8"/>
      <c r="B966" s="8"/>
      <c r="C966" s="8"/>
      <c r="D966" s="26"/>
      <c r="E966" s="6" t="s">
        <v>2162</v>
      </c>
      <c r="F966" s="4">
        <v>4</v>
      </c>
      <c r="G966" s="22"/>
      <c r="H966" s="22"/>
      <c r="I966" s="22"/>
      <c r="J966" s="30">
        <f>ROUND(F966,2)</f>
        <v>4</v>
      </c>
      <c r="K966" s="32">
        <f>SUM(J964:J966)</f>
        <v>43</v>
      </c>
      <c r="L966" s="8"/>
      <c r="M966" s="8"/>
      <c r="N966" s="8"/>
    </row>
    <row r="967" spans="1:14" ht="15.4" customHeight="1" thickBot="1" x14ac:dyDescent="0.25">
      <c r="A967" s="12" t="s">
        <v>2163</v>
      </c>
      <c r="B967" s="6" t="s">
        <v>2164</v>
      </c>
      <c r="C967" s="6" t="s">
        <v>2165</v>
      </c>
      <c r="D967" s="60" t="s">
        <v>2166</v>
      </c>
      <c r="E967" s="60"/>
      <c r="F967" s="60"/>
      <c r="G967" s="60"/>
      <c r="H967" s="60"/>
      <c r="I967" s="60"/>
      <c r="J967" s="60"/>
      <c r="K967" s="22">
        <f>SUM(K970:K970)</f>
        <v>2</v>
      </c>
      <c r="L967" s="22">
        <f>ROUND(69.78*(1+M2/100),2)</f>
        <v>69.78</v>
      </c>
      <c r="M967" s="22">
        <f>ROUND(K967*L967,2)</f>
        <v>139.56</v>
      </c>
      <c r="N967" s="8"/>
    </row>
    <row r="968" spans="1:14" ht="12.2" customHeight="1" thickBot="1" x14ac:dyDescent="0.25">
      <c r="A968" s="8"/>
      <c r="B968" s="8"/>
      <c r="C968" s="8"/>
      <c r="D968" s="60" t="s">
        <v>2167</v>
      </c>
      <c r="E968" s="60"/>
      <c r="F968" s="60"/>
      <c r="G968" s="60"/>
      <c r="H968" s="60"/>
      <c r="I968" s="60"/>
      <c r="J968" s="60"/>
      <c r="K968" s="60"/>
      <c r="L968" s="60"/>
      <c r="M968" s="60"/>
      <c r="N968" s="8"/>
    </row>
    <row r="969" spans="1:14" ht="15.4" customHeight="1" thickBot="1" x14ac:dyDescent="0.25">
      <c r="A969" s="8"/>
      <c r="B969" s="8"/>
      <c r="C969" s="8"/>
      <c r="D969" s="8"/>
      <c r="E969" s="23"/>
      <c r="F969" s="25" t="s">
        <v>2168</v>
      </c>
      <c r="G969" s="25" t="s">
        <v>2169</v>
      </c>
      <c r="H969" s="25" t="s">
        <v>2170</v>
      </c>
      <c r="I969" s="25" t="s">
        <v>2171</v>
      </c>
      <c r="J969" s="25" t="s">
        <v>2172</v>
      </c>
      <c r="K969" s="25" t="s">
        <v>2173</v>
      </c>
      <c r="L969" s="8"/>
      <c r="M969" s="8"/>
      <c r="N969" s="8"/>
    </row>
    <row r="970" spans="1:14" ht="15.4" customHeight="1" thickBot="1" x14ac:dyDescent="0.25">
      <c r="A970" s="8"/>
      <c r="B970" s="8"/>
      <c r="C970" s="8"/>
      <c r="D970" s="26"/>
      <c r="E970" s="27" t="s">
        <v>2174</v>
      </c>
      <c r="F970" s="28">
        <v>2</v>
      </c>
      <c r="G970" s="29"/>
      <c r="H970" s="29"/>
      <c r="I970" s="29"/>
      <c r="J970" s="31">
        <f>ROUND(F970,2)</f>
        <v>2</v>
      </c>
      <c r="K970" s="33">
        <f>SUM(J970:J970)</f>
        <v>2</v>
      </c>
      <c r="L970" s="8"/>
      <c r="M970" s="8"/>
      <c r="N970" s="8"/>
    </row>
    <row r="971" spans="1:14" ht="15.4" customHeight="1" thickBot="1" x14ac:dyDescent="0.25">
      <c r="A971" s="12" t="s">
        <v>2175</v>
      </c>
      <c r="B971" s="6" t="s">
        <v>2176</v>
      </c>
      <c r="C971" s="6" t="s">
        <v>2177</v>
      </c>
      <c r="D971" s="60" t="s">
        <v>2178</v>
      </c>
      <c r="E971" s="60"/>
      <c r="F971" s="60"/>
      <c r="G971" s="60"/>
      <c r="H971" s="60"/>
      <c r="I971" s="60"/>
      <c r="J971" s="60"/>
      <c r="K971" s="22">
        <f>SUM(K974:K975)</f>
        <v>67</v>
      </c>
      <c r="L971" s="22">
        <f>ROUND(54.17*(1+M2/100),2)</f>
        <v>54.17</v>
      </c>
      <c r="M971" s="22">
        <f>ROUND(K971*L971,2)</f>
        <v>3629.39</v>
      </c>
      <c r="N971" s="8"/>
    </row>
    <row r="972" spans="1:14" ht="30.95" customHeight="1" thickBot="1" x14ac:dyDescent="0.25">
      <c r="A972" s="8"/>
      <c r="B972" s="8"/>
      <c r="C972" s="8"/>
      <c r="D972" s="60" t="s">
        <v>2179</v>
      </c>
      <c r="E972" s="60"/>
      <c r="F972" s="60"/>
      <c r="G972" s="60"/>
      <c r="H972" s="60"/>
      <c r="I972" s="60"/>
      <c r="J972" s="60"/>
      <c r="K972" s="60"/>
      <c r="L972" s="60"/>
      <c r="M972" s="60"/>
      <c r="N972" s="8"/>
    </row>
    <row r="973" spans="1:14" ht="15.4" customHeight="1" thickBot="1" x14ac:dyDescent="0.25">
      <c r="A973" s="8"/>
      <c r="B973" s="8"/>
      <c r="C973" s="8"/>
      <c r="D973" s="8"/>
      <c r="E973" s="23"/>
      <c r="F973" s="25" t="s">
        <v>2180</v>
      </c>
      <c r="G973" s="25" t="s">
        <v>2181</v>
      </c>
      <c r="H973" s="25" t="s">
        <v>2182</v>
      </c>
      <c r="I973" s="25" t="s">
        <v>2183</v>
      </c>
      <c r="J973" s="25" t="s">
        <v>2184</v>
      </c>
      <c r="K973" s="25" t="s">
        <v>2185</v>
      </c>
      <c r="L973" s="8"/>
      <c r="M973" s="8"/>
      <c r="N973" s="8"/>
    </row>
    <row r="974" spans="1:14" ht="15.4" customHeight="1" thickBot="1" x14ac:dyDescent="0.25">
      <c r="A974" s="8"/>
      <c r="B974" s="8"/>
      <c r="C974" s="8"/>
      <c r="D974" s="26"/>
      <c r="E974" s="27" t="s">
        <v>2186</v>
      </c>
      <c r="F974" s="28">
        <v>53</v>
      </c>
      <c r="G974" s="29"/>
      <c r="H974" s="29"/>
      <c r="I974" s="29"/>
      <c r="J974" s="31">
        <f>ROUND(F974,2)</f>
        <v>53</v>
      </c>
      <c r="K974" s="35"/>
      <c r="L974" s="8"/>
      <c r="M974" s="8"/>
      <c r="N974" s="8"/>
    </row>
    <row r="975" spans="1:14" ht="15.4" customHeight="1" thickBot="1" x14ac:dyDescent="0.25">
      <c r="A975" s="8"/>
      <c r="B975" s="8"/>
      <c r="C975" s="8"/>
      <c r="D975" s="26"/>
      <c r="E975" s="6" t="s">
        <v>2187</v>
      </c>
      <c r="F975" s="4">
        <v>14</v>
      </c>
      <c r="G975" s="22"/>
      <c r="H975" s="22"/>
      <c r="I975" s="22"/>
      <c r="J975" s="30">
        <f>ROUND(F975,2)</f>
        <v>14</v>
      </c>
      <c r="K975" s="32">
        <f>SUM(J974:J975)</f>
        <v>67</v>
      </c>
      <c r="L975" s="8"/>
      <c r="M975" s="8"/>
      <c r="N975" s="8"/>
    </row>
    <row r="976" spans="1:14" ht="15.4" customHeight="1" thickBot="1" x14ac:dyDescent="0.25">
      <c r="A976" s="12" t="s">
        <v>2188</v>
      </c>
      <c r="B976" s="6" t="s">
        <v>2189</v>
      </c>
      <c r="C976" s="6" t="s">
        <v>2190</v>
      </c>
      <c r="D976" s="60" t="s">
        <v>2191</v>
      </c>
      <c r="E976" s="60"/>
      <c r="F976" s="60"/>
      <c r="G976" s="60"/>
      <c r="H976" s="60"/>
      <c r="I976" s="60"/>
      <c r="J976" s="60"/>
      <c r="K976" s="22">
        <f>SUM(K979:K984)</f>
        <v>29</v>
      </c>
      <c r="L976" s="22">
        <f>ROUND(67.22*(1+M2/100),2)</f>
        <v>67.22</v>
      </c>
      <c r="M976" s="22">
        <f>ROUND(K976*L976,2)</f>
        <v>1949.38</v>
      </c>
      <c r="N976" s="8"/>
    </row>
    <row r="977" spans="1:14" ht="30.95" customHeight="1" thickBot="1" x14ac:dyDescent="0.25">
      <c r="A977" s="8"/>
      <c r="B977" s="8"/>
      <c r="C977" s="8"/>
      <c r="D977" s="60" t="s">
        <v>2192</v>
      </c>
      <c r="E977" s="60"/>
      <c r="F977" s="60"/>
      <c r="G977" s="60"/>
      <c r="H977" s="60"/>
      <c r="I977" s="60"/>
      <c r="J977" s="60"/>
      <c r="K977" s="60"/>
      <c r="L977" s="60"/>
      <c r="M977" s="60"/>
      <c r="N977" s="8"/>
    </row>
    <row r="978" spans="1:14" ht="15.4" customHeight="1" thickBot="1" x14ac:dyDescent="0.25">
      <c r="A978" s="8"/>
      <c r="B978" s="8"/>
      <c r="C978" s="8"/>
      <c r="D978" s="8"/>
      <c r="E978" s="23"/>
      <c r="F978" s="25" t="s">
        <v>2193</v>
      </c>
      <c r="G978" s="25" t="s">
        <v>2194</v>
      </c>
      <c r="H978" s="25" t="s">
        <v>2195</v>
      </c>
      <c r="I978" s="25" t="s">
        <v>2196</v>
      </c>
      <c r="J978" s="25" t="s">
        <v>2197</v>
      </c>
      <c r="K978" s="25" t="s">
        <v>2198</v>
      </c>
      <c r="L978" s="8"/>
      <c r="M978" s="8"/>
      <c r="N978" s="8"/>
    </row>
    <row r="979" spans="1:14" ht="15.4" customHeight="1" thickBot="1" x14ac:dyDescent="0.25">
      <c r="A979" s="8"/>
      <c r="B979" s="8"/>
      <c r="C979" s="8"/>
      <c r="D979" s="26"/>
      <c r="E979" s="27" t="s">
        <v>2199</v>
      </c>
      <c r="F979" s="28">
        <v>2</v>
      </c>
      <c r="G979" s="29"/>
      <c r="H979" s="29"/>
      <c r="I979" s="29"/>
      <c r="J979" s="31">
        <f t="shared" ref="J979:J984" si="18">ROUND(F979,2)</f>
        <v>2</v>
      </c>
      <c r="K979" s="35"/>
      <c r="L979" s="8"/>
      <c r="M979" s="8"/>
      <c r="N979" s="8"/>
    </row>
    <row r="980" spans="1:14" ht="15.4" customHeight="1" thickBot="1" x14ac:dyDescent="0.25">
      <c r="A980" s="8"/>
      <c r="B980" s="8"/>
      <c r="C980" s="8"/>
      <c r="D980" s="26"/>
      <c r="E980" s="6" t="s">
        <v>2200</v>
      </c>
      <c r="F980" s="4">
        <v>2</v>
      </c>
      <c r="G980" s="22"/>
      <c r="H980" s="22"/>
      <c r="I980" s="22"/>
      <c r="J980" s="30">
        <f t="shared" si="18"/>
        <v>2</v>
      </c>
      <c r="K980" s="8"/>
      <c r="L980" s="8"/>
      <c r="M980" s="8"/>
      <c r="N980" s="8"/>
    </row>
    <row r="981" spans="1:14" ht="15.4" customHeight="1" thickBot="1" x14ac:dyDescent="0.25">
      <c r="A981" s="8"/>
      <c r="B981" s="8"/>
      <c r="C981" s="8"/>
      <c r="D981" s="26"/>
      <c r="E981" s="6" t="s">
        <v>2201</v>
      </c>
      <c r="F981" s="4">
        <v>1</v>
      </c>
      <c r="G981" s="22"/>
      <c r="H981" s="22"/>
      <c r="I981" s="22"/>
      <c r="J981" s="30">
        <f t="shared" si="18"/>
        <v>1</v>
      </c>
      <c r="K981" s="8"/>
      <c r="L981" s="8"/>
      <c r="M981" s="8"/>
      <c r="N981" s="8"/>
    </row>
    <row r="982" spans="1:14" ht="15.4" customHeight="1" thickBot="1" x14ac:dyDescent="0.25">
      <c r="A982" s="8"/>
      <c r="B982" s="8"/>
      <c r="C982" s="8"/>
      <c r="D982" s="26"/>
      <c r="E982" s="6" t="s">
        <v>2202</v>
      </c>
      <c r="F982" s="4">
        <v>11</v>
      </c>
      <c r="G982" s="22"/>
      <c r="H982" s="22"/>
      <c r="I982" s="22"/>
      <c r="J982" s="30">
        <f t="shared" si="18"/>
        <v>11</v>
      </c>
      <c r="K982" s="8"/>
      <c r="L982" s="8"/>
      <c r="M982" s="8"/>
      <c r="N982" s="8"/>
    </row>
    <row r="983" spans="1:14" ht="15.4" customHeight="1" thickBot="1" x14ac:dyDescent="0.25">
      <c r="A983" s="8"/>
      <c r="B983" s="8"/>
      <c r="C983" s="8"/>
      <c r="D983" s="26"/>
      <c r="E983" s="6" t="s">
        <v>2203</v>
      </c>
      <c r="F983" s="4">
        <v>11</v>
      </c>
      <c r="G983" s="22"/>
      <c r="H983" s="22"/>
      <c r="I983" s="22"/>
      <c r="J983" s="30">
        <f t="shared" si="18"/>
        <v>11</v>
      </c>
      <c r="K983" s="8"/>
      <c r="L983" s="8"/>
      <c r="M983" s="8"/>
      <c r="N983" s="8"/>
    </row>
    <row r="984" spans="1:14" ht="15.4" customHeight="1" thickBot="1" x14ac:dyDescent="0.25">
      <c r="A984" s="8"/>
      <c r="B984" s="8"/>
      <c r="C984" s="8"/>
      <c r="D984" s="26"/>
      <c r="E984" s="6" t="s">
        <v>2204</v>
      </c>
      <c r="F984" s="4">
        <v>2</v>
      </c>
      <c r="G984" s="22"/>
      <c r="H984" s="22"/>
      <c r="I984" s="22"/>
      <c r="J984" s="30">
        <f t="shared" si="18"/>
        <v>2</v>
      </c>
      <c r="K984" s="32">
        <f>SUM(J979:J984)</f>
        <v>29</v>
      </c>
      <c r="L984" s="8"/>
      <c r="M984" s="8"/>
      <c r="N984" s="8"/>
    </row>
    <row r="985" spans="1:14" ht="15.4" customHeight="1" thickBot="1" x14ac:dyDescent="0.25">
      <c r="A985" s="12" t="s">
        <v>2205</v>
      </c>
      <c r="B985" s="6" t="s">
        <v>2206</v>
      </c>
      <c r="C985" s="6" t="s">
        <v>2207</v>
      </c>
      <c r="D985" s="60" t="s">
        <v>2208</v>
      </c>
      <c r="E985" s="60"/>
      <c r="F985" s="60"/>
      <c r="G985" s="60"/>
      <c r="H985" s="60"/>
      <c r="I985" s="60"/>
      <c r="J985" s="60"/>
      <c r="K985" s="22">
        <f>SUM(K988:K988)</f>
        <v>17</v>
      </c>
      <c r="L985" s="22">
        <f>ROUND(51.19*(1+M2/100),2)</f>
        <v>51.19</v>
      </c>
      <c r="M985" s="22">
        <f>ROUND(K985*L985,2)</f>
        <v>870.23</v>
      </c>
      <c r="N985" s="8"/>
    </row>
    <row r="986" spans="1:14" ht="30.95" customHeight="1" thickBot="1" x14ac:dyDescent="0.25">
      <c r="A986" s="8"/>
      <c r="B986" s="8"/>
      <c r="C986" s="8"/>
      <c r="D986" s="60" t="s">
        <v>2209</v>
      </c>
      <c r="E986" s="60"/>
      <c r="F986" s="60"/>
      <c r="G986" s="60"/>
      <c r="H986" s="60"/>
      <c r="I986" s="60"/>
      <c r="J986" s="60"/>
      <c r="K986" s="60"/>
      <c r="L986" s="60"/>
      <c r="M986" s="60"/>
      <c r="N986" s="8"/>
    </row>
    <row r="987" spans="1:14" ht="15.4" customHeight="1" thickBot="1" x14ac:dyDescent="0.25">
      <c r="A987" s="8"/>
      <c r="B987" s="8"/>
      <c r="C987" s="8"/>
      <c r="D987" s="8"/>
      <c r="E987" s="23"/>
      <c r="F987" s="25" t="s">
        <v>2210</v>
      </c>
      <c r="G987" s="25" t="s">
        <v>2211</v>
      </c>
      <c r="H987" s="25" t="s">
        <v>2212</v>
      </c>
      <c r="I987" s="25" t="s">
        <v>2213</v>
      </c>
      <c r="J987" s="25" t="s">
        <v>2214</v>
      </c>
      <c r="K987" s="25" t="s">
        <v>2215</v>
      </c>
      <c r="L987" s="8"/>
      <c r="M987" s="8"/>
      <c r="N987" s="8"/>
    </row>
    <row r="988" spans="1:14" ht="15.4" customHeight="1" thickBot="1" x14ac:dyDescent="0.25">
      <c r="A988" s="8"/>
      <c r="B988" s="8"/>
      <c r="C988" s="8"/>
      <c r="D988" s="26"/>
      <c r="E988" s="27" t="s">
        <v>2216</v>
      </c>
      <c r="F988" s="28">
        <v>17</v>
      </c>
      <c r="G988" s="29"/>
      <c r="H988" s="29"/>
      <c r="I988" s="29"/>
      <c r="J988" s="31">
        <f>ROUND(F988,2)</f>
        <v>17</v>
      </c>
      <c r="K988" s="33">
        <f>SUM(J988:J988)</f>
        <v>17</v>
      </c>
      <c r="L988" s="8"/>
      <c r="M988" s="8"/>
      <c r="N988" s="8"/>
    </row>
    <row r="989" spans="1:14" ht="15.4" customHeight="1" thickBot="1" x14ac:dyDescent="0.25">
      <c r="A989" s="12" t="s">
        <v>2217</v>
      </c>
      <c r="B989" s="6" t="s">
        <v>2218</v>
      </c>
      <c r="C989" s="6" t="s">
        <v>2219</v>
      </c>
      <c r="D989" s="60" t="s">
        <v>2220</v>
      </c>
      <c r="E989" s="60"/>
      <c r="F989" s="60"/>
      <c r="G989" s="60"/>
      <c r="H989" s="60"/>
      <c r="I989" s="60"/>
      <c r="J989" s="60"/>
      <c r="K989" s="22">
        <f>SUM(K992:K992)</f>
        <v>17</v>
      </c>
      <c r="L989" s="22">
        <f>ROUND(51.19*(1+M2/100),2)</f>
        <v>51.19</v>
      </c>
      <c r="M989" s="22">
        <f>ROUND(K989*L989,2)</f>
        <v>870.23</v>
      </c>
      <c r="N989" s="8"/>
    </row>
    <row r="990" spans="1:14" ht="30.95" customHeight="1" thickBot="1" x14ac:dyDescent="0.25">
      <c r="A990" s="8"/>
      <c r="B990" s="8"/>
      <c r="C990" s="8"/>
      <c r="D990" s="60" t="s">
        <v>2221</v>
      </c>
      <c r="E990" s="60"/>
      <c r="F990" s="60"/>
      <c r="G990" s="60"/>
      <c r="H990" s="60"/>
      <c r="I990" s="60"/>
      <c r="J990" s="60"/>
      <c r="K990" s="60"/>
      <c r="L990" s="60"/>
      <c r="M990" s="60"/>
      <c r="N990" s="8"/>
    </row>
    <row r="991" spans="1:14" ht="15.4" customHeight="1" thickBot="1" x14ac:dyDescent="0.25">
      <c r="A991" s="8"/>
      <c r="B991" s="8"/>
      <c r="C991" s="8"/>
      <c r="D991" s="8"/>
      <c r="E991" s="23"/>
      <c r="F991" s="25" t="s">
        <v>2222</v>
      </c>
      <c r="G991" s="25" t="s">
        <v>2223</v>
      </c>
      <c r="H991" s="25" t="s">
        <v>2224</v>
      </c>
      <c r="I991" s="25" t="s">
        <v>2225</v>
      </c>
      <c r="J991" s="25" t="s">
        <v>2226</v>
      </c>
      <c r="K991" s="25" t="s">
        <v>2227</v>
      </c>
      <c r="L991" s="8"/>
      <c r="M991" s="8"/>
      <c r="N991" s="8"/>
    </row>
    <row r="992" spans="1:14" ht="15.4" customHeight="1" thickBot="1" x14ac:dyDescent="0.25">
      <c r="A992" s="8"/>
      <c r="B992" s="8"/>
      <c r="C992" s="8"/>
      <c r="D992" s="26"/>
      <c r="E992" s="27" t="s">
        <v>2228</v>
      </c>
      <c r="F992" s="28">
        <v>17</v>
      </c>
      <c r="G992" s="29"/>
      <c r="H992" s="29"/>
      <c r="I992" s="29"/>
      <c r="J992" s="31">
        <f>ROUND(F992,2)</f>
        <v>17</v>
      </c>
      <c r="K992" s="33">
        <f>SUM(J992:J992)</f>
        <v>17</v>
      </c>
      <c r="L992" s="8"/>
      <c r="M992" s="8"/>
      <c r="N992" s="8"/>
    </row>
    <row r="993" spans="1:14" ht="15.4" customHeight="1" thickBot="1" x14ac:dyDescent="0.25">
      <c r="A993" s="12" t="s">
        <v>2229</v>
      </c>
      <c r="B993" s="6" t="s">
        <v>2230</v>
      </c>
      <c r="C993" s="6" t="s">
        <v>2231</v>
      </c>
      <c r="D993" s="60" t="s">
        <v>2232</v>
      </c>
      <c r="E993" s="60"/>
      <c r="F993" s="60"/>
      <c r="G993" s="60"/>
      <c r="H993" s="60"/>
      <c r="I993" s="60"/>
      <c r="J993" s="60"/>
      <c r="K993" s="22">
        <f>SUM(K996:K996)</f>
        <v>68</v>
      </c>
      <c r="L993" s="22">
        <f>ROUND(48.14*(1+M2/100),2)</f>
        <v>48.14</v>
      </c>
      <c r="M993" s="22">
        <f>ROUND(K993*L993,2)</f>
        <v>3273.52</v>
      </c>
      <c r="N993" s="8"/>
    </row>
    <row r="994" spans="1:14" ht="30.95" customHeight="1" thickBot="1" x14ac:dyDescent="0.25">
      <c r="A994" s="8"/>
      <c r="B994" s="8"/>
      <c r="C994" s="8"/>
      <c r="D994" s="60" t="s">
        <v>2233</v>
      </c>
      <c r="E994" s="60"/>
      <c r="F994" s="60"/>
      <c r="G994" s="60"/>
      <c r="H994" s="60"/>
      <c r="I994" s="60"/>
      <c r="J994" s="60"/>
      <c r="K994" s="60"/>
      <c r="L994" s="60"/>
      <c r="M994" s="60"/>
      <c r="N994" s="8"/>
    </row>
    <row r="995" spans="1:14" ht="15.4" customHeight="1" thickBot="1" x14ac:dyDescent="0.25">
      <c r="A995" s="8"/>
      <c r="B995" s="8"/>
      <c r="C995" s="8"/>
      <c r="D995" s="8"/>
      <c r="E995" s="23"/>
      <c r="F995" s="25" t="s">
        <v>2234</v>
      </c>
      <c r="G995" s="25" t="s">
        <v>2235</v>
      </c>
      <c r="H995" s="25" t="s">
        <v>2236</v>
      </c>
      <c r="I995" s="25" t="s">
        <v>2237</v>
      </c>
      <c r="J995" s="25" t="s">
        <v>2238</v>
      </c>
      <c r="K995" s="25" t="s">
        <v>2239</v>
      </c>
      <c r="L995" s="8"/>
      <c r="M995" s="8"/>
      <c r="N995" s="8"/>
    </row>
    <row r="996" spans="1:14" ht="15.4" customHeight="1" thickBot="1" x14ac:dyDescent="0.25">
      <c r="A996" s="8"/>
      <c r="B996" s="8"/>
      <c r="C996" s="8"/>
      <c r="D996" s="26"/>
      <c r="E996" s="27" t="s">
        <v>2240</v>
      </c>
      <c r="F996" s="28">
        <v>68</v>
      </c>
      <c r="G996" s="29"/>
      <c r="H996" s="29"/>
      <c r="I996" s="29"/>
      <c r="J996" s="31">
        <f>ROUND(F996,2)</f>
        <v>68</v>
      </c>
      <c r="K996" s="33">
        <f>SUM(J996:J996)</f>
        <v>68</v>
      </c>
      <c r="L996" s="8"/>
      <c r="M996" s="8"/>
      <c r="N996" s="8"/>
    </row>
    <row r="997" spans="1:14" ht="15.4" customHeight="1" thickBot="1" x14ac:dyDescent="0.25">
      <c r="A997" s="12" t="s">
        <v>2241</v>
      </c>
      <c r="B997" s="6" t="s">
        <v>2242</v>
      </c>
      <c r="C997" s="6" t="s">
        <v>2243</v>
      </c>
      <c r="D997" s="60" t="s">
        <v>2244</v>
      </c>
      <c r="E997" s="60"/>
      <c r="F997" s="60"/>
      <c r="G997" s="60"/>
      <c r="H997" s="60"/>
      <c r="I997" s="60"/>
      <c r="J997" s="60"/>
      <c r="K997" s="22">
        <f>SUM(K1000:K1006)</f>
        <v>8</v>
      </c>
      <c r="L997" s="22">
        <f>ROUND(28.62*(1+M2/100),2)</f>
        <v>28.62</v>
      </c>
      <c r="M997" s="22">
        <f>ROUND(K997*L997,2)</f>
        <v>228.96</v>
      </c>
      <c r="N997" s="8"/>
    </row>
    <row r="998" spans="1:14" ht="21.6" customHeight="1" thickBot="1" x14ac:dyDescent="0.25">
      <c r="A998" s="8"/>
      <c r="B998" s="8"/>
      <c r="C998" s="8"/>
      <c r="D998" s="60" t="s">
        <v>2245</v>
      </c>
      <c r="E998" s="60"/>
      <c r="F998" s="60"/>
      <c r="G998" s="60"/>
      <c r="H998" s="60"/>
      <c r="I998" s="60"/>
      <c r="J998" s="60"/>
      <c r="K998" s="60"/>
      <c r="L998" s="60"/>
      <c r="M998" s="60"/>
      <c r="N998" s="8"/>
    </row>
    <row r="999" spans="1:14" ht="15.4" customHeight="1" thickBot="1" x14ac:dyDescent="0.25">
      <c r="A999" s="8"/>
      <c r="B999" s="8"/>
      <c r="C999" s="8"/>
      <c r="D999" s="8"/>
      <c r="E999" s="23"/>
      <c r="F999" s="25" t="s">
        <v>2246</v>
      </c>
      <c r="G999" s="25" t="s">
        <v>2247</v>
      </c>
      <c r="H999" s="25" t="s">
        <v>2248</v>
      </c>
      <c r="I999" s="25" t="s">
        <v>2249</v>
      </c>
      <c r="J999" s="25" t="s">
        <v>2250</v>
      </c>
      <c r="K999" s="25" t="s">
        <v>2251</v>
      </c>
      <c r="L999" s="8"/>
      <c r="M999" s="8"/>
      <c r="N999" s="8"/>
    </row>
    <row r="1000" spans="1:14" ht="15.4" customHeight="1" thickBot="1" x14ac:dyDescent="0.25">
      <c r="A1000" s="8"/>
      <c r="B1000" s="8"/>
      <c r="C1000" s="8"/>
      <c r="D1000" s="26"/>
      <c r="E1000" s="27" t="s">
        <v>2252</v>
      </c>
      <c r="F1000" s="28">
        <v>2</v>
      </c>
      <c r="G1000" s="29"/>
      <c r="H1000" s="29"/>
      <c r="I1000" s="29"/>
      <c r="J1000" s="31">
        <f t="shared" ref="J1000:J1006" si="19">ROUND(F1000,2)</f>
        <v>2</v>
      </c>
      <c r="K1000" s="35"/>
      <c r="L1000" s="8"/>
      <c r="M1000" s="8"/>
      <c r="N1000" s="8"/>
    </row>
    <row r="1001" spans="1:14" ht="15.4" customHeight="1" thickBot="1" x14ac:dyDescent="0.25">
      <c r="A1001" s="8"/>
      <c r="B1001" s="8"/>
      <c r="C1001" s="8"/>
      <c r="D1001" s="26"/>
      <c r="E1001" s="6" t="s">
        <v>2253</v>
      </c>
      <c r="F1001" s="4">
        <v>1</v>
      </c>
      <c r="G1001" s="22"/>
      <c r="H1001" s="22"/>
      <c r="I1001" s="22"/>
      <c r="J1001" s="30">
        <f t="shared" si="19"/>
        <v>1</v>
      </c>
      <c r="K1001" s="8"/>
      <c r="L1001" s="8"/>
      <c r="M1001" s="8"/>
      <c r="N1001" s="8"/>
    </row>
    <row r="1002" spans="1:14" ht="15.4" customHeight="1" thickBot="1" x14ac:dyDescent="0.25">
      <c r="A1002" s="8"/>
      <c r="B1002" s="8"/>
      <c r="C1002" s="8"/>
      <c r="D1002" s="26"/>
      <c r="E1002" s="6" t="s">
        <v>2254</v>
      </c>
      <c r="F1002" s="4">
        <v>1</v>
      </c>
      <c r="G1002" s="22"/>
      <c r="H1002" s="22"/>
      <c r="I1002" s="22"/>
      <c r="J1002" s="30">
        <f t="shared" si="19"/>
        <v>1</v>
      </c>
      <c r="K1002" s="8"/>
      <c r="L1002" s="8"/>
      <c r="M1002" s="8"/>
      <c r="N1002" s="8"/>
    </row>
    <row r="1003" spans="1:14" ht="15.4" customHeight="1" thickBot="1" x14ac:dyDescent="0.25">
      <c r="A1003" s="8"/>
      <c r="B1003" s="8"/>
      <c r="C1003" s="8"/>
      <c r="D1003" s="26"/>
      <c r="E1003" s="6" t="s">
        <v>2255</v>
      </c>
      <c r="F1003" s="4">
        <v>1</v>
      </c>
      <c r="G1003" s="22"/>
      <c r="H1003" s="22"/>
      <c r="I1003" s="22"/>
      <c r="J1003" s="30">
        <f t="shared" si="19"/>
        <v>1</v>
      </c>
      <c r="K1003" s="8"/>
      <c r="L1003" s="8"/>
      <c r="M1003" s="8"/>
      <c r="N1003" s="8"/>
    </row>
    <row r="1004" spans="1:14" ht="15.4" customHeight="1" thickBot="1" x14ac:dyDescent="0.25">
      <c r="A1004" s="8"/>
      <c r="B1004" s="8"/>
      <c r="C1004" s="8"/>
      <c r="D1004" s="26"/>
      <c r="E1004" s="6" t="s">
        <v>2256</v>
      </c>
      <c r="F1004" s="4">
        <v>1</v>
      </c>
      <c r="G1004" s="22"/>
      <c r="H1004" s="22"/>
      <c r="I1004" s="22"/>
      <c r="J1004" s="30">
        <f t="shared" si="19"/>
        <v>1</v>
      </c>
      <c r="K1004" s="8"/>
      <c r="L1004" s="8"/>
      <c r="M1004" s="8"/>
      <c r="N1004" s="8"/>
    </row>
    <row r="1005" spans="1:14" ht="15.4" customHeight="1" thickBot="1" x14ac:dyDescent="0.25">
      <c r="A1005" s="8"/>
      <c r="B1005" s="8"/>
      <c r="C1005" s="8"/>
      <c r="D1005" s="26"/>
      <c r="E1005" s="6" t="s">
        <v>2257</v>
      </c>
      <c r="F1005" s="4">
        <v>1</v>
      </c>
      <c r="G1005" s="22"/>
      <c r="H1005" s="22"/>
      <c r="I1005" s="22"/>
      <c r="J1005" s="30">
        <f t="shared" si="19"/>
        <v>1</v>
      </c>
      <c r="K1005" s="8"/>
      <c r="L1005" s="8"/>
      <c r="M1005" s="8"/>
      <c r="N1005" s="8"/>
    </row>
    <row r="1006" spans="1:14" ht="15.4" customHeight="1" thickBot="1" x14ac:dyDescent="0.25">
      <c r="A1006" s="8"/>
      <c r="B1006" s="8"/>
      <c r="C1006" s="8"/>
      <c r="D1006" s="26"/>
      <c r="E1006" s="6" t="s">
        <v>2258</v>
      </c>
      <c r="F1006" s="4">
        <v>1</v>
      </c>
      <c r="G1006" s="22"/>
      <c r="H1006" s="22"/>
      <c r="I1006" s="22"/>
      <c r="J1006" s="30">
        <f t="shared" si="19"/>
        <v>1</v>
      </c>
      <c r="K1006" s="32">
        <f>SUM(J1000:J1006)</f>
        <v>8</v>
      </c>
      <c r="L1006" s="8"/>
      <c r="M1006" s="8"/>
      <c r="N1006" s="8"/>
    </row>
    <row r="1007" spans="1:14" ht="15.4" customHeight="1" thickBot="1" x14ac:dyDescent="0.25">
      <c r="A1007" s="12" t="s">
        <v>2259</v>
      </c>
      <c r="B1007" s="6" t="s">
        <v>2260</v>
      </c>
      <c r="C1007" s="6" t="s">
        <v>2261</v>
      </c>
      <c r="D1007" s="60" t="s">
        <v>2262</v>
      </c>
      <c r="E1007" s="60"/>
      <c r="F1007" s="60"/>
      <c r="G1007" s="60"/>
      <c r="H1007" s="60"/>
      <c r="I1007" s="60"/>
      <c r="J1007" s="60"/>
      <c r="K1007" s="22">
        <f>SUM(K1010:K1012)</f>
        <v>4</v>
      </c>
      <c r="L1007" s="22">
        <f>ROUND(28.59*(1+M2/100),2)</f>
        <v>28.59</v>
      </c>
      <c r="M1007" s="22">
        <f>ROUND(K1007*L1007,2)</f>
        <v>114.36</v>
      </c>
      <c r="N1007" s="8"/>
    </row>
    <row r="1008" spans="1:14" ht="21.6" customHeight="1" thickBot="1" x14ac:dyDescent="0.25">
      <c r="A1008" s="8"/>
      <c r="B1008" s="8"/>
      <c r="C1008" s="8"/>
      <c r="D1008" s="60" t="s">
        <v>2263</v>
      </c>
      <c r="E1008" s="60"/>
      <c r="F1008" s="60"/>
      <c r="G1008" s="60"/>
      <c r="H1008" s="60"/>
      <c r="I1008" s="60"/>
      <c r="J1008" s="60"/>
      <c r="K1008" s="60"/>
      <c r="L1008" s="60"/>
      <c r="M1008" s="60"/>
      <c r="N1008" s="8"/>
    </row>
    <row r="1009" spans="1:14" ht="15.4" customHeight="1" thickBot="1" x14ac:dyDescent="0.25">
      <c r="A1009" s="8"/>
      <c r="B1009" s="8"/>
      <c r="C1009" s="8"/>
      <c r="D1009" s="8"/>
      <c r="E1009" s="23"/>
      <c r="F1009" s="25" t="s">
        <v>2264</v>
      </c>
      <c r="G1009" s="25" t="s">
        <v>2265</v>
      </c>
      <c r="H1009" s="25" t="s">
        <v>2266</v>
      </c>
      <c r="I1009" s="25" t="s">
        <v>2267</v>
      </c>
      <c r="J1009" s="25" t="s">
        <v>2268</v>
      </c>
      <c r="K1009" s="25" t="s">
        <v>2269</v>
      </c>
      <c r="L1009" s="8"/>
      <c r="M1009" s="8"/>
      <c r="N1009" s="8"/>
    </row>
    <row r="1010" spans="1:14" ht="15.4" customHeight="1" thickBot="1" x14ac:dyDescent="0.25">
      <c r="A1010" s="8"/>
      <c r="B1010" s="8"/>
      <c r="C1010" s="8"/>
      <c r="D1010" s="26"/>
      <c r="E1010" s="27" t="s">
        <v>2270</v>
      </c>
      <c r="F1010" s="28">
        <v>2</v>
      </c>
      <c r="G1010" s="29"/>
      <c r="H1010" s="29"/>
      <c r="I1010" s="29"/>
      <c r="J1010" s="31">
        <f>ROUND(F1010,2)</f>
        <v>2</v>
      </c>
      <c r="K1010" s="35"/>
      <c r="L1010" s="8"/>
      <c r="M1010" s="8"/>
      <c r="N1010" s="8"/>
    </row>
    <row r="1011" spans="1:14" ht="15.4" customHeight="1" thickBot="1" x14ac:dyDescent="0.25">
      <c r="A1011" s="8"/>
      <c r="B1011" s="8"/>
      <c r="C1011" s="8"/>
      <c r="D1011" s="26"/>
      <c r="E1011" s="6" t="s">
        <v>2271</v>
      </c>
      <c r="F1011" s="4">
        <v>1</v>
      </c>
      <c r="G1011" s="22"/>
      <c r="H1011" s="22"/>
      <c r="I1011" s="22"/>
      <c r="J1011" s="30">
        <f>ROUND(F1011,2)</f>
        <v>1</v>
      </c>
      <c r="K1011" s="8"/>
      <c r="L1011" s="8"/>
      <c r="M1011" s="8"/>
      <c r="N1011" s="8"/>
    </row>
    <row r="1012" spans="1:14" ht="15.4" customHeight="1" thickBot="1" x14ac:dyDescent="0.25">
      <c r="A1012" s="8"/>
      <c r="B1012" s="8"/>
      <c r="C1012" s="8"/>
      <c r="D1012" s="26"/>
      <c r="E1012" s="6" t="s">
        <v>2272</v>
      </c>
      <c r="F1012" s="4">
        <v>1</v>
      </c>
      <c r="G1012" s="22"/>
      <c r="H1012" s="22"/>
      <c r="I1012" s="22"/>
      <c r="J1012" s="30">
        <f>ROUND(F1012,2)</f>
        <v>1</v>
      </c>
      <c r="K1012" s="32">
        <f>SUM(J1010:J1012)</f>
        <v>4</v>
      </c>
      <c r="L1012" s="8"/>
      <c r="M1012" s="8"/>
      <c r="N1012" s="8"/>
    </row>
    <row r="1013" spans="1:14" ht="15.4" customHeight="1" thickBot="1" x14ac:dyDescent="0.25">
      <c r="A1013" s="12" t="s">
        <v>2273</v>
      </c>
      <c r="B1013" s="6" t="s">
        <v>2274</v>
      </c>
      <c r="C1013" s="6" t="s">
        <v>2275</v>
      </c>
      <c r="D1013" s="60" t="s">
        <v>2276</v>
      </c>
      <c r="E1013" s="60"/>
      <c r="F1013" s="60"/>
      <c r="G1013" s="60"/>
      <c r="H1013" s="60"/>
      <c r="I1013" s="60"/>
      <c r="J1013" s="60"/>
      <c r="K1013" s="22">
        <f>SUM(K1016:K1016)</f>
        <v>10</v>
      </c>
      <c r="L1013" s="22">
        <f>ROUND(43.56*(1+M2/100),2)</f>
        <v>43.56</v>
      </c>
      <c r="M1013" s="22">
        <f>ROUND(K1013*L1013,2)</f>
        <v>435.6</v>
      </c>
      <c r="N1013" s="8"/>
    </row>
    <row r="1014" spans="1:14" ht="12.2" customHeight="1" thickBot="1" x14ac:dyDescent="0.25">
      <c r="A1014" s="8"/>
      <c r="B1014" s="8"/>
      <c r="C1014" s="8"/>
      <c r="D1014" s="60" t="s">
        <v>2277</v>
      </c>
      <c r="E1014" s="60"/>
      <c r="F1014" s="60"/>
      <c r="G1014" s="60"/>
      <c r="H1014" s="60"/>
      <c r="I1014" s="60"/>
      <c r="J1014" s="60"/>
      <c r="K1014" s="60"/>
      <c r="L1014" s="60"/>
      <c r="M1014" s="60"/>
      <c r="N1014" s="8"/>
    </row>
    <row r="1015" spans="1:14" ht="15.4" customHeight="1" thickBot="1" x14ac:dyDescent="0.25">
      <c r="A1015" s="8"/>
      <c r="B1015" s="8"/>
      <c r="C1015" s="8"/>
      <c r="D1015" s="8"/>
      <c r="E1015" s="23"/>
      <c r="F1015" s="25" t="s">
        <v>2278</v>
      </c>
      <c r="G1015" s="25" t="s">
        <v>2279</v>
      </c>
      <c r="H1015" s="25" t="s">
        <v>2280</v>
      </c>
      <c r="I1015" s="25" t="s">
        <v>2281</v>
      </c>
      <c r="J1015" s="25" t="s">
        <v>2282</v>
      </c>
      <c r="K1015" s="25" t="s">
        <v>2283</v>
      </c>
      <c r="L1015" s="8"/>
      <c r="M1015" s="8"/>
      <c r="N1015" s="8"/>
    </row>
    <row r="1016" spans="1:14" ht="15.4" customHeight="1" thickBot="1" x14ac:dyDescent="0.25">
      <c r="A1016" s="8"/>
      <c r="B1016" s="8"/>
      <c r="C1016" s="8"/>
      <c r="D1016" s="26"/>
      <c r="E1016" s="27" t="s">
        <v>2284</v>
      </c>
      <c r="F1016" s="28">
        <v>1</v>
      </c>
      <c r="G1016" s="29">
        <v>10</v>
      </c>
      <c r="H1016" s="29"/>
      <c r="I1016" s="29"/>
      <c r="J1016" s="31">
        <f>ROUND(F1016*G1016,2)</f>
        <v>10</v>
      </c>
      <c r="K1016" s="33">
        <f>SUM(J1016:J1016)</f>
        <v>10</v>
      </c>
      <c r="L1016" s="8"/>
      <c r="M1016" s="8"/>
      <c r="N1016" s="8"/>
    </row>
    <row r="1017" spans="1:14" ht="15.4" customHeight="1" thickBot="1" x14ac:dyDescent="0.25">
      <c r="A1017" s="36"/>
      <c r="B1017" s="36"/>
      <c r="C1017" s="36"/>
      <c r="D1017" s="37" t="s">
        <v>2285</v>
      </c>
      <c r="E1017" s="38"/>
      <c r="F1017" s="38"/>
      <c r="G1017" s="38"/>
      <c r="H1017" s="38"/>
      <c r="I1017" s="38"/>
      <c r="J1017" s="38"/>
      <c r="K1017" s="38"/>
      <c r="L1017" s="39">
        <f>M957+M961+M967+M971+M976+M985+M989+M993+M997+M1007+M1013</f>
        <v>13836.74</v>
      </c>
      <c r="M1017" s="39">
        <f>ROUND(L1017,2)</f>
        <v>13836.74</v>
      </c>
      <c r="N1017" s="8"/>
    </row>
    <row r="1018" spans="1:14" ht="15.4" customHeight="1" thickBot="1" x14ac:dyDescent="0.25">
      <c r="A1018" s="40" t="s">
        <v>2286</v>
      </c>
      <c r="B1018" s="40" t="s">
        <v>2287</v>
      </c>
      <c r="C1018" s="41"/>
      <c r="D1018" s="61" t="s">
        <v>2288</v>
      </c>
      <c r="E1018" s="61"/>
      <c r="F1018" s="61"/>
      <c r="G1018" s="61"/>
      <c r="H1018" s="61"/>
      <c r="I1018" s="61"/>
      <c r="J1018" s="61"/>
      <c r="K1018" s="41"/>
      <c r="L1018" s="42">
        <f>L1051</f>
        <v>4977.97</v>
      </c>
      <c r="M1018" s="42">
        <f>ROUND(L1018,2)</f>
        <v>4977.97</v>
      </c>
      <c r="N1018" s="8"/>
    </row>
    <row r="1019" spans="1:14" ht="15.4" customHeight="1" thickBot="1" x14ac:dyDescent="0.25">
      <c r="A1019" s="12" t="s">
        <v>2289</v>
      </c>
      <c r="B1019" s="6" t="s">
        <v>2290</v>
      </c>
      <c r="C1019" s="6" t="s">
        <v>2291</v>
      </c>
      <c r="D1019" s="60" t="s">
        <v>2292</v>
      </c>
      <c r="E1019" s="60"/>
      <c r="F1019" s="60"/>
      <c r="G1019" s="60"/>
      <c r="H1019" s="60"/>
      <c r="I1019" s="60"/>
      <c r="J1019" s="60"/>
      <c r="K1019" s="22">
        <f>SUM(K1022:K1022)</f>
        <v>1</v>
      </c>
      <c r="L1019" s="22">
        <f>ROUND(280.65*(1+M2/100),2)</f>
        <v>280.64999999999998</v>
      </c>
      <c r="M1019" s="22">
        <f>ROUND(K1019*L1019,2)</f>
        <v>280.64999999999998</v>
      </c>
      <c r="N1019" s="8"/>
    </row>
    <row r="1020" spans="1:14" ht="21.6" customHeight="1" thickBot="1" x14ac:dyDescent="0.25">
      <c r="A1020" s="8"/>
      <c r="B1020" s="8"/>
      <c r="C1020" s="8"/>
      <c r="D1020" s="60" t="s">
        <v>2293</v>
      </c>
      <c r="E1020" s="60"/>
      <c r="F1020" s="60"/>
      <c r="G1020" s="60"/>
      <c r="H1020" s="60"/>
      <c r="I1020" s="60"/>
      <c r="J1020" s="60"/>
      <c r="K1020" s="60"/>
      <c r="L1020" s="60"/>
      <c r="M1020" s="60"/>
      <c r="N1020" s="8"/>
    </row>
    <row r="1021" spans="1:14" ht="15.4" customHeight="1" thickBot="1" x14ac:dyDescent="0.25">
      <c r="A1021" s="8"/>
      <c r="B1021" s="8"/>
      <c r="C1021" s="8"/>
      <c r="D1021" s="8"/>
      <c r="E1021" s="23"/>
      <c r="F1021" s="25" t="s">
        <v>2294</v>
      </c>
      <c r="G1021" s="25" t="s">
        <v>2295</v>
      </c>
      <c r="H1021" s="25" t="s">
        <v>2296</v>
      </c>
      <c r="I1021" s="25" t="s">
        <v>2297</v>
      </c>
      <c r="J1021" s="25" t="s">
        <v>2298</v>
      </c>
      <c r="K1021" s="25" t="s">
        <v>2299</v>
      </c>
      <c r="L1021" s="8"/>
      <c r="M1021" s="8"/>
      <c r="N1021" s="8"/>
    </row>
    <row r="1022" spans="1:14" ht="15.4" customHeight="1" thickBot="1" x14ac:dyDescent="0.25">
      <c r="A1022" s="8"/>
      <c r="B1022" s="8"/>
      <c r="C1022" s="8"/>
      <c r="D1022" s="26"/>
      <c r="E1022" s="27"/>
      <c r="F1022" s="28">
        <v>1</v>
      </c>
      <c r="G1022" s="29"/>
      <c r="H1022" s="29"/>
      <c r="I1022" s="29"/>
      <c r="J1022" s="31">
        <f>ROUND(F1022,2)</f>
        <v>1</v>
      </c>
      <c r="K1022" s="33">
        <f>SUM(J1022:J1022)</f>
        <v>1</v>
      </c>
      <c r="L1022" s="8"/>
      <c r="M1022" s="8"/>
      <c r="N1022" s="8"/>
    </row>
    <row r="1023" spans="1:14" ht="15.4" customHeight="1" thickBot="1" x14ac:dyDescent="0.25">
      <c r="A1023" s="12" t="s">
        <v>2300</v>
      </c>
      <c r="B1023" s="6" t="s">
        <v>2301</v>
      </c>
      <c r="C1023" s="6" t="s">
        <v>2302</v>
      </c>
      <c r="D1023" s="60" t="s">
        <v>2303</v>
      </c>
      <c r="E1023" s="60"/>
      <c r="F1023" s="60"/>
      <c r="G1023" s="60"/>
      <c r="H1023" s="60"/>
      <c r="I1023" s="60"/>
      <c r="J1023" s="60"/>
      <c r="K1023" s="22">
        <f>SUM(K1026:K1026)</f>
        <v>880</v>
      </c>
      <c r="L1023" s="22">
        <f>ROUND(3.54*(1+M2/100),2)</f>
        <v>3.54</v>
      </c>
      <c r="M1023" s="22">
        <f>ROUND(K1023*L1023,2)</f>
        <v>3115.2</v>
      </c>
      <c r="N1023" s="8"/>
    </row>
    <row r="1024" spans="1:14" ht="40.35" customHeight="1" thickBot="1" x14ac:dyDescent="0.25">
      <c r="A1024" s="8"/>
      <c r="B1024" s="8"/>
      <c r="C1024" s="8"/>
      <c r="D1024" s="60" t="s">
        <v>2304</v>
      </c>
      <c r="E1024" s="60"/>
      <c r="F1024" s="60"/>
      <c r="G1024" s="60"/>
      <c r="H1024" s="60"/>
      <c r="I1024" s="60"/>
      <c r="J1024" s="60"/>
      <c r="K1024" s="60"/>
      <c r="L1024" s="60"/>
      <c r="M1024" s="60"/>
      <c r="N1024" s="8"/>
    </row>
    <row r="1025" spans="1:14" ht="15.4" customHeight="1" thickBot="1" x14ac:dyDescent="0.25">
      <c r="A1025" s="8"/>
      <c r="B1025" s="8"/>
      <c r="C1025" s="8"/>
      <c r="D1025" s="8"/>
      <c r="E1025" s="23"/>
      <c r="F1025" s="25" t="s">
        <v>2305</v>
      </c>
      <c r="G1025" s="25" t="s">
        <v>2306</v>
      </c>
      <c r="H1025" s="25" t="s">
        <v>2307</v>
      </c>
      <c r="I1025" s="25" t="s">
        <v>2308</v>
      </c>
      <c r="J1025" s="25" t="s">
        <v>2309</v>
      </c>
      <c r="K1025" s="25" t="s">
        <v>2310</v>
      </c>
      <c r="L1025" s="8"/>
      <c r="M1025" s="8"/>
      <c r="N1025" s="8"/>
    </row>
    <row r="1026" spans="1:14" ht="15.4" customHeight="1" thickBot="1" x14ac:dyDescent="0.25">
      <c r="A1026" s="8"/>
      <c r="B1026" s="8"/>
      <c r="C1026" s="8"/>
      <c r="D1026" s="26"/>
      <c r="E1026" s="27"/>
      <c r="F1026" s="28">
        <v>1</v>
      </c>
      <c r="G1026" s="29">
        <v>880</v>
      </c>
      <c r="H1026" s="29"/>
      <c r="I1026" s="29"/>
      <c r="J1026" s="31">
        <f>ROUND(F1026*G1026,2)</f>
        <v>880</v>
      </c>
      <c r="K1026" s="33">
        <f>SUM(J1026:J1026)</f>
        <v>880</v>
      </c>
      <c r="L1026" s="8"/>
      <c r="M1026" s="8"/>
      <c r="N1026" s="8"/>
    </row>
    <row r="1027" spans="1:14" ht="15.4" customHeight="1" thickBot="1" x14ac:dyDescent="0.25">
      <c r="A1027" s="12" t="s">
        <v>2311</v>
      </c>
      <c r="B1027" s="6" t="s">
        <v>2312</v>
      </c>
      <c r="C1027" s="6" t="s">
        <v>2313</v>
      </c>
      <c r="D1027" s="60" t="s">
        <v>2314</v>
      </c>
      <c r="E1027" s="60"/>
      <c r="F1027" s="60"/>
      <c r="G1027" s="60"/>
      <c r="H1027" s="60"/>
      <c r="I1027" s="60"/>
      <c r="J1027" s="60"/>
      <c r="K1027" s="22">
        <f>SUM(K1030:K1030)</f>
        <v>1</v>
      </c>
      <c r="L1027" s="22">
        <f>ROUND(916.83*(1+M2/100),2)</f>
        <v>916.83</v>
      </c>
      <c r="M1027" s="22">
        <f>ROUND(K1027*L1027,2)</f>
        <v>916.83</v>
      </c>
      <c r="N1027" s="8"/>
    </row>
    <row r="1028" spans="1:14" ht="40.35" customHeight="1" thickBot="1" x14ac:dyDescent="0.25">
      <c r="A1028" s="8"/>
      <c r="B1028" s="8"/>
      <c r="C1028" s="8"/>
      <c r="D1028" s="60" t="s">
        <v>2315</v>
      </c>
      <c r="E1028" s="60"/>
      <c r="F1028" s="60"/>
      <c r="G1028" s="60"/>
      <c r="H1028" s="60"/>
      <c r="I1028" s="60"/>
      <c r="J1028" s="60"/>
      <c r="K1028" s="60"/>
      <c r="L1028" s="60"/>
      <c r="M1028" s="60"/>
      <c r="N1028" s="8"/>
    </row>
    <row r="1029" spans="1:14" ht="15.4" customHeight="1" thickBot="1" x14ac:dyDescent="0.25">
      <c r="A1029" s="8"/>
      <c r="B1029" s="8"/>
      <c r="C1029" s="8"/>
      <c r="D1029" s="8"/>
      <c r="E1029" s="23"/>
      <c r="F1029" s="25" t="s">
        <v>2316</v>
      </c>
      <c r="G1029" s="25" t="s">
        <v>2317</v>
      </c>
      <c r="H1029" s="25" t="s">
        <v>2318</v>
      </c>
      <c r="I1029" s="25" t="s">
        <v>2319</v>
      </c>
      <c r="J1029" s="25" t="s">
        <v>2320</v>
      </c>
      <c r="K1029" s="25" t="s">
        <v>2321</v>
      </c>
      <c r="L1029" s="8"/>
      <c r="M1029" s="8"/>
      <c r="N1029" s="8"/>
    </row>
    <row r="1030" spans="1:14" ht="15.4" customHeight="1" thickBot="1" x14ac:dyDescent="0.25">
      <c r="A1030" s="8"/>
      <c r="B1030" s="8"/>
      <c r="C1030" s="8"/>
      <c r="D1030" s="26"/>
      <c r="E1030" s="27"/>
      <c r="F1030" s="28">
        <v>1</v>
      </c>
      <c r="G1030" s="29"/>
      <c r="H1030" s="29"/>
      <c r="I1030" s="29"/>
      <c r="J1030" s="31">
        <f>ROUND(F1030,2)</f>
        <v>1</v>
      </c>
      <c r="K1030" s="33">
        <f>SUM(J1030:J1030)</f>
        <v>1</v>
      </c>
      <c r="L1030" s="8"/>
      <c r="M1030" s="8"/>
      <c r="N1030" s="8"/>
    </row>
    <row r="1031" spans="1:14" ht="15.4" customHeight="1" thickBot="1" x14ac:dyDescent="0.25">
      <c r="A1031" s="12" t="s">
        <v>2322</v>
      </c>
      <c r="B1031" s="6" t="s">
        <v>2323</v>
      </c>
      <c r="C1031" s="6" t="s">
        <v>2324</v>
      </c>
      <c r="D1031" s="60" t="s">
        <v>2325</v>
      </c>
      <c r="E1031" s="60"/>
      <c r="F1031" s="60"/>
      <c r="G1031" s="60"/>
      <c r="H1031" s="60"/>
      <c r="I1031" s="60"/>
      <c r="J1031" s="60"/>
      <c r="K1031" s="22">
        <f>SUM(K1034:K1034)</f>
        <v>1</v>
      </c>
      <c r="L1031" s="22">
        <f>ROUND(126.93*(1+M2/100),2)</f>
        <v>126.93</v>
      </c>
      <c r="M1031" s="22">
        <f>ROUND(K1031*L1031,2)</f>
        <v>126.93</v>
      </c>
      <c r="N1031" s="8"/>
    </row>
    <row r="1032" spans="1:14" ht="12.2" customHeight="1" thickBot="1" x14ac:dyDescent="0.25">
      <c r="A1032" s="8"/>
      <c r="B1032" s="8"/>
      <c r="C1032" s="8"/>
      <c r="D1032" s="60" t="s">
        <v>2326</v>
      </c>
      <c r="E1032" s="60"/>
      <c r="F1032" s="60"/>
      <c r="G1032" s="60"/>
      <c r="H1032" s="60"/>
      <c r="I1032" s="60"/>
      <c r="J1032" s="60"/>
      <c r="K1032" s="60"/>
      <c r="L1032" s="60"/>
      <c r="M1032" s="60"/>
      <c r="N1032" s="8"/>
    </row>
    <row r="1033" spans="1:14" ht="15.4" customHeight="1" thickBot="1" x14ac:dyDescent="0.25">
      <c r="A1033" s="8"/>
      <c r="B1033" s="8"/>
      <c r="C1033" s="8"/>
      <c r="D1033" s="8"/>
      <c r="E1033" s="23"/>
      <c r="F1033" s="25" t="s">
        <v>2327</v>
      </c>
      <c r="G1033" s="25" t="s">
        <v>2328</v>
      </c>
      <c r="H1033" s="25" t="s">
        <v>2329</v>
      </c>
      <c r="I1033" s="25" t="s">
        <v>2330</v>
      </c>
      <c r="J1033" s="25" t="s">
        <v>2331</v>
      </c>
      <c r="K1033" s="25" t="s">
        <v>2332</v>
      </c>
      <c r="L1033" s="8"/>
      <c r="M1033" s="8"/>
      <c r="N1033" s="8"/>
    </row>
    <row r="1034" spans="1:14" ht="15.4" customHeight="1" thickBot="1" x14ac:dyDescent="0.25">
      <c r="A1034" s="8"/>
      <c r="B1034" s="8"/>
      <c r="C1034" s="8"/>
      <c r="D1034" s="26"/>
      <c r="E1034" s="27"/>
      <c r="F1034" s="28">
        <v>1</v>
      </c>
      <c r="G1034" s="29"/>
      <c r="H1034" s="29"/>
      <c r="I1034" s="29"/>
      <c r="J1034" s="31">
        <f>ROUND(F1034,2)</f>
        <v>1</v>
      </c>
      <c r="K1034" s="33">
        <f>SUM(J1034:J1034)</f>
        <v>1</v>
      </c>
      <c r="L1034" s="8"/>
      <c r="M1034" s="8"/>
      <c r="N1034" s="8"/>
    </row>
    <row r="1035" spans="1:14" ht="15.4" customHeight="1" thickBot="1" x14ac:dyDescent="0.25">
      <c r="A1035" s="12" t="s">
        <v>2333</v>
      </c>
      <c r="B1035" s="6" t="s">
        <v>2334</v>
      </c>
      <c r="C1035" s="6" t="s">
        <v>2335</v>
      </c>
      <c r="D1035" s="60" t="s">
        <v>2336</v>
      </c>
      <c r="E1035" s="60"/>
      <c r="F1035" s="60"/>
      <c r="G1035" s="60"/>
      <c r="H1035" s="60"/>
      <c r="I1035" s="60"/>
      <c r="J1035" s="60"/>
      <c r="K1035" s="22">
        <f>SUM(K1038:K1038)</f>
        <v>1</v>
      </c>
      <c r="L1035" s="22">
        <f>ROUND(140.71*(1+M2/100),2)</f>
        <v>140.71</v>
      </c>
      <c r="M1035" s="22">
        <f>ROUND(K1035*L1035,2)</f>
        <v>140.71</v>
      </c>
      <c r="N1035" s="8"/>
    </row>
    <row r="1036" spans="1:14" ht="12.2" customHeight="1" thickBot="1" x14ac:dyDescent="0.25">
      <c r="A1036" s="8"/>
      <c r="B1036" s="8"/>
      <c r="C1036" s="8"/>
      <c r="D1036" s="60" t="s">
        <v>2337</v>
      </c>
      <c r="E1036" s="60"/>
      <c r="F1036" s="60"/>
      <c r="G1036" s="60"/>
      <c r="H1036" s="60"/>
      <c r="I1036" s="60"/>
      <c r="J1036" s="60"/>
      <c r="K1036" s="60"/>
      <c r="L1036" s="60"/>
      <c r="M1036" s="60"/>
      <c r="N1036" s="8"/>
    </row>
    <row r="1037" spans="1:14" ht="15.4" customHeight="1" thickBot="1" x14ac:dyDescent="0.25">
      <c r="A1037" s="8"/>
      <c r="B1037" s="8"/>
      <c r="C1037" s="8"/>
      <c r="D1037" s="8"/>
      <c r="E1037" s="23"/>
      <c r="F1037" s="25" t="s">
        <v>2338</v>
      </c>
      <c r="G1037" s="25" t="s">
        <v>2339</v>
      </c>
      <c r="H1037" s="25" t="s">
        <v>2340</v>
      </c>
      <c r="I1037" s="25" t="s">
        <v>2341</v>
      </c>
      <c r="J1037" s="25" t="s">
        <v>2342</v>
      </c>
      <c r="K1037" s="25" t="s">
        <v>2343</v>
      </c>
      <c r="L1037" s="8"/>
      <c r="M1037" s="8"/>
      <c r="N1037" s="8"/>
    </row>
    <row r="1038" spans="1:14" ht="15.4" customHeight="1" thickBot="1" x14ac:dyDescent="0.25">
      <c r="A1038" s="8"/>
      <c r="B1038" s="8"/>
      <c r="C1038" s="8"/>
      <c r="D1038" s="26"/>
      <c r="E1038" s="27"/>
      <c r="F1038" s="28">
        <v>1</v>
      </c>
      <c r="G1038" s="29"/>
      <c r="H1038" s="29"/>
      <c r="I1038" s="29"/>
      <c r="J1038" s="31">
        <f>ROUND(F1038,2)</f>
        <v>1</v>
      </c>
      <c r="K1038" s="33">
        <f>SUM(J1038:J1038)</f>
        <v>1</v>
      </c>
      <c r="L1038" s="8"/>
      <c r="M1038" s="8"/>
      <c r="N1038" s="8"/>
    </row>
    <row r="1039" spans="1:14" ht="15.4" customHeight="1" thickBot="1" x14ac:dyDescent="0.25">
      <c r="A1039" s="12" t="s">
        <v>2344</v>
      </c>
      <c r="B1039" s="6" t="s">
        <v>2345</v>
      </c>
      <c r="C1039" s="6" t="s">
        <v>2346</v>
      </c>
      <c r="D1039" s="60" t="s">
        <v>2347</v>
      </c>
      <c r="E1039" s="60"/>
      <c r="F1039" s="60"/>
      <c r="G1039" s="60"/>
      <c r="H1039" s="60"/>
      <c r="I1039" s="60"/>
      <c r="J1039" s="60"/>
      <c r="K1039" s="22">
        <f>SUM(K1042:K1042)</f>
        <v>1</v>
      </c>
      <c r="L1039" s="22">
        <f>ROUND(123.23*(1+M2/100),2)</f>
        <v>123.23</v>
      </c>
      <c r="M1039" s="22">
        <f>ROUND(K1039*L1039,2)</f>
        <v>123.23</v>
      </c>
      <c r="N1039" s="8"/>
    </row>
    <row r="1040" spans="1:14" ht="21.6" customHeight="1" thickBot="1" x14ac:dyDescent="0.25">
      <c r="A1040" s="8"/>
      <c r="B1040" s="8"/>
      <c r="C1040" s="8"/>
      <c r="D1040" s="60" t="s">
        <v>2348</v>
      </c>
      <c r="E1040" s="60"/>
      <c r="F1040" s="60"/>
      <c r="G1040" s="60"/>
      <c r="H1040" s="60"/>
      <c r="I1040" s="60"/>
      <c r="J1040" s="60"/>
      <c r="K1040" s="60"/>
      <c r="L1040" s="60"/>
      <c r="M1040" s="60"/>
      <c r="N1040" s="8"/>
    </row>
    <row r="1041" spans="1:14" ht="15.4" customHeight="1" thickBot="1" x14ac:dyDescent="0.25">
      <c r="A1041" s="8"/>
      <c r="B1041" s="8"/>
      <c r="C1041" s="8"/>
      <c r="D1041" s="8"/>
      <c r="E1041" s="23"/>
      <c r="F1041" s="25" t="s">
        <v>2349</v>
      </c>
      <c r="G1041" s="25" t="s">
        <v>2350</v>
      </c>
      <c r="H1041" s="25" t="s">
        <v>2351</v>
      </c>
      <c r="I1041" s="25" t="s">
        <v>2352</v>
      </c>
      <c r="J1041" s="25" t="s">
        <v>2353</v>
      </c>
      <c r="K1041" s="25" t="s">
        <v>2354</v>
      </c>
      <c r="L1041" s="8"/>
      <c r="M1041" s="8"/>
      <c r="N1041" s="8"/>
    </row>
    <row r="1042" spans="1:14" ht="15.4" customHeight="1" thickBot="1" x14ac:dyDescent="0.25">
      <c r="A1042" s="8"/>
      <c r="B1042" s="8"/>
      <c r="C1042" s="8"/>
      <c r="D1042" s="26"/>
      <c r="E1042" s="27"/>
      <c r="F1042" s="28">
        <v>1</v>
      </c>
      <c r="G1042" s="29"/>
      <c r="H1042" s="29"/>
      <c r="I1042" s="29"/>
      <c r="J1042" s="31">
        <f>ROUND(F1042,2)</f>
        <v>1</v>
      </c>
      <c r="K1042" s="33">
        <f>SUM(J1042:J1042)</f>
        <v>1</v>
      </c>
      <c r="L1042" s="8"/>
      <c r="M1042" s="8"/>
      <c r="N1042" s="8"/>
    </row>
    <row r="1043" spans="1:14" ht="15.4" customHeight="1" thickBot="1" x14ac:dyDescent="0.25">
      <c r="A1043" s="12" t="s">
        <v>2355</v>
      </c>
      <c r="B1043" s="6" t="s">
        <v>2356</v>
      </c>
      <c r="C1043" s="6" t="s">
        <v>2357</v>
      </c>
      <c r="D1043" s="60" t="s">
        <v>2358</v>
      </c>
      <c r="E1043" s="60"/>
      <c r="F1043" s="60"/>
      <c r="G1043" s="60"/>
      <c r="H1043" s="60"/>
      <c r="I1043" s="60"/>
      <c r="J1043" s="60"/>
      <c r="K1043" s="22">
        <f>SUM(K1046:K1046)</f>
        <v>1</v>
      </c>
      <c r="L1043" s="22">
        <f>ROUND(137.26*(1+M2/100),2)</f>
        <v>137.26</v>
      </c>
      <c r="M1043" s="22">
        <f>ROUND(K1043*L1043,2)</f>
        <v>137.26</v>
      </c>
      <c r="N1043" s="8"/>
    </row>
    <row r="1044" spans="1:14" ht="21.6" customHeight="1" thickBot="1" x14ac:dyDescent="0.25">
      <c r="A1044" s="8"/>
      <c r="B1044" s="8"/>
      <c r="C1044" s="8"/>
      <c r="D1044" s="60" t="s">
        <v>2359</v>
      </c>
      <c r="E1044" s="60"/>
      <c r="F1044" s="60"/>
      <c r="G1044" s="60"/>
      <c r="H1044" s="60"/>
      <c r="I1044" s="60"/>
      <c r="J1044" s="60"/>
      <c r="K1044" s="60"/>
      <c r="L1044" s="60"/>
      <c r="M1044" s="60"/>
      <c r="N1044" s="8"/>
    </row>
    <row r="1045" spans="1:14" ht="15.4" customHeight="1" thickBot="1" x14ac:dyDescent="0.25">
      <c r="A1045" s="8"/>
      <c r="B1045" s="8"/>
      <c r="C1045" s="8"/>
      <c r="D1045" s="8"/>
      <c r="E1045" s="23"/>
      <c r="F1045" s="25" t="s">
        <v>2360</v>
      </c>
      <c r="G1045" s="25" t="s">
        <v>2361</v>
      </c>
      <c r="H1045" s="25" t="s">
        <v>2362</v>
      </c>
      <c r="I1045" s="25" t="s">
        <v>2363</v>
      </c>
      <c r="J1045" s="25" t="s">
        <v>2364</v>
      </c>
      <c r="K1045" s="25" t="s">
        <v>2365</v>
      </c>
      <c r="L1045" s="8"/>
      <c r="M1045" s="8"/>
      <c r="N1045" s="8"/>
    </row>
    <row r="1046" spans="1:14" ht="15.4" customHeight="1" thickBot="1" x14ac:dyDescent="0.25">
      <c r="A1046" s="8"/>
      <c r="B1046" s="8"/>
      <c r="C1046" s="8"/>
      <c r="D1046" s="26"/>
      <c r="E1046" s="27"/>
      <c r="F1046" s="28">
        <v>1</v>
      </c>
      <c r="G1046" s="29"/>
      <c r="H1046" s="29"/>
      <c r="I1046" s="29"/>
      <c r="J1046" s="31">
        <f>ROUND(F1046,2)</f>
        <v>1</v>
      </c>
      <c r="K1046" s="33">
        <f>SUM(J1046:J1046)</f>
        <v>1</v>
      </c>
      <c r="L1046" s="8"/>
      <c r="M1046" s="8"/>
      <c r="N1046" s="8"/>
    </row>
    <row r="1047" spans="1:14" ht="15.4" customHeight="1" thickBot="1" x14ac:dyDescent="0.25">
      <c r="A1047" s="12" t="s">
        <v>2366</v>
      </c>
      <c r="B1047" s="6" t="s">
        <v>2367</v>
      </c>
      <c r="C1047" s="6" t="s">
        <v>2368</v>
      </c>
      <c r="D1047" s="60" t="s">
        <v>2369</v>
      </c>
      <c r="E1047" s="60"/>
      <c r="F1047" s="60"/>
      <c r="G1047" s="60"/>
      <c r="H1047" s="60"/>
      <c r="I1047" s="60"/>
      <c r="J1047" s="60"/>
      <c r="K1047" s="22">
        <f>SUM(K1050:K1050)</f>
        <v>4</v>
      </c>
      <c r="L1047" s="22">
        <f>ROUND(34.29*(1+M2/100),2)</f>
        <v>34.29</v>
      </c>
      <c r="M1047" s="22">
        <f>ROUND(K1047*L1047,2)</f>
        <v>137.16</v>
      </c>
      <c r="N1047" s="8"/>
    </row>
    <row r="1048" spans="1:14" ht="21.6" customHeight="1" thickBot="1" x14ac:dyDescent="0.25">
      <c r="A1048" s="8"/>
      <c r="B1048" s="8"/>
      <c r="C1048" s="8"/>
      <c r="D1048" s="60" t="s">
        <v>2370</v>
      </c>
      <c r="E1048" s="60"/>
      <c r="F1048" s="60"/>
      <c r="G1048" s="60"/>
      <c r="H1048" s="60"/>
      <c r="I1048" s="60"/>
      <c r="J1048" s="60"/>
      <c r="K1048" s="60"/>
      <c r="L1048" s="60"/>
      <c r="M1048" s="60"/>
      <c r="N1048" s="8"/>
    </row>
    <row r="1049" spans="1:14" ht="15.4" customHeight="1" thickBot="1" x14ac:dyDescent="0.25">
      <c r="A1049" s="8"/>
      <c r="B1049" s="8"/>
      <c r="C1049" s="8"/>
      <c r="D1049" s="8"/>
      <c r="E1049" s="23"/>
      <c r="F1049" s="25" t="s">
        <v>2371</v>
      </c>
      <c r="G1049" s="25" t="s">
        <v>2372</v>
      </c>
      <c r="H1049" s="25" t="s">
        <v>2373</v>
      </c>
      <c r="I1049" s="25" t="s">
        <v>2374</v>
      </c>
      <c r="J1049" s="25" t="s">
        <v>2375</v>
      </c>
      <c r="K1049" s="25" t="s">
        <v>2376</v>
      </c>
      <c r="L1049" s="8"/>
      <c r="M1049" s="8"/>
      <c r="N1049" s="8"/>
    </row>
    <row r="1050" spans="1:14" ht="15.4" customHeight="1" thickBot="1" x14ac:dyDescent="0.25">
      <c r="A1050" s="8"/>
      <c r="B1050" s="8"/>
      <c r="C1050" s="8"/>
      <c r="D1050" s="26"/>
      <c r="E1050" s="27"/>
      <c r="F1050" s="28">
        <v>4</v>
      </c>
      <c r="G1050" s="29"/>
      <c r="H1050" s="29"/>
      <c r="I1050" s="29"/>
      <c r="J1050" s="31">
        <f>ROUND(F1050,2)</f>
        <v>4</v>
      </c>
      <c r="K1050" s="33">
        <f>SUM(J1050:J1050)</f>
        <v>4</v>
      </c>
      <c r="L1050" s="8"/>
      <c r="M1050" s="8"/>
      <c r="N1050" s="8"/>
    </row>
    <row r="1051" spans="1:14" ht="15.4" customHeight="1" thickBot="1" x14ac:dyDescent="0.25">
      <c r="A1051" s="36"/>
      <c r="B1051" s="36"/>
      <c r="C1051" s="36"/>
      <c r="D1051" s="37" t="s">
        <v>2377</v>
      </c>
      <c r="E1051" s="38"/>
      <c r="F1051" s="38"/>
      <c r="G1051" s="38"/>
      <c r="H1051" s="38"/>
      <c r="I1051" s="38"/>
      <c r="J1051" s="38"/>
      <c r="K1051" s="38"/>
      <c r="L1051" s="39">
        <f>M1019+M1023+M1027+M1031+M1035+M1039+M1043+M1047</f>
        <v>4977.97</v>
      </c>
      <c r="M1051" s="39">
        <f>ROUND(L1051,2)</f>
        <v>4977.97</v>
      </c>
      <c r="N1051" s="8"/>
    </row>
    <row r="1052" spans="1:14" ht="15.4" customHeight="1" thickBot="1" x14ac:dyDescent="0.25">
      <c r="A1052" s="40" t="s">
        <v>2378</v>
      </c>
      <c r="B1052" s="40" t="s">
        <v>2379</v>
      </c>
      <c r="C1052" s="41"/>
      <c r="D1052" s="61" t="s">
        <v>2380</v>
      </c>
      <c r="E1052" s="61"/>
      <c r="F1052" s="61"/>
      <c r="G1052" s="61"/>
      <c r="H1052" s="61"/>
      <c r="I1052" s="61"/>
      <c r="J1052" s="61"/>
      <c r="K1052" s="41"/>
      <c r="L1052" s="42">
        <f>L1077</f>
        <v>10182</v>
      </c>
      <c r="M1052" s="42">
        <f>ROUND(L1052,2)</f>
        <v>10182</v>
      </c>
      <c r="N1052" s="8"/>
    </row>
    <row r="1053" spans="1:14" ht="15.4" customHeight="1" thickBot="1" x14ac:dyDescent="0.25">
      <c r="A1053" s="12" t="s">
        <v>2381</v>
      </c>
      <c r="B1053" s="6" t="s">
        <v>2382</v>
      </c>
      <c r="C1053" s="6" t="s">
        <v>2383</v>
      </c>
      <c r="D1053" s="60" t="s">
        <v>2384</v>
      </c>
      <c r="E1053" s="60"/>
      <c r="F1053" s="60"/>
      <c r="G1053" s="60"/>
      <c r="H1053" s="60"/>
      <c r="I1053" s="60"/>
      <c r="J1053" s="60"/>
      <c r="K1053" s="22">
        <f>SUM(K1056:K1056)</f>
        <v>650</v>
      </c>
      <c r="L1053" s="22">
        <f>ROUND(4.08*(1+M2/100),2)</f>
        <v>4.08</v>
      </c>
      <c r="M1053" s="22">
        <f>ROUND(K1053*L1053,2)</f>
        <v>2652</v>
      </c>
      <c r="N1053" s="8"/>
    </row>
    <row r="1054" spans="1:14" ht="12.2" customHeight="1" thickBot="1" x14ac:dyDescent="0.25">
      <c r="A1054" s="8"/>
      <c r="B1054" s="8"/>
      <c r="C1054" s="8"/>
      <c r="D1054" s="60" t="s">
        <v>2385</v>
      </c>
      <c r="E1054" s="60"/>
      <c r="F1054" s="60"/>
      <c r="G1054" s="60"/>
      <c r="H1054" s="60"/>
      <c r="I1054" s="60"/>
      <c r="J1054" s="60"/>
      <c r="K1054" s="60"/>
      <c r="L1054" s="60"/>
      <c r="M1054" s="60"/>
      <c r="N1054" s="8"/>
    </row>
    <row r="1055" spans="1:14" ht="15.4" customHeight="1" thickBot="1" x14ac:dyDescent="0.25">
      <c r="A1055" s="8"/>
      <c r="B1055" s="8"/>
      <c r="C1055" s="8"/>
      <c r="D1055" s="8"/>
      <c r="E1055" s="23"/>
      <c r="F1055" s="25" t="s">
        <v>2386</v>
      </c>
      <c r="G1055" s="25" t="s">
        <v>2387</v>
      </c>
      <c r="H1055" s="25" t="s">
        <v>2388</v>
      </c>
      <c r="I1055" s="25" t="s">
        <v>2389</v>
      </c>
      <c r="J1055" s="25" t="s">
        <v>2390</v>
      </c>
      <c r="K1055" s="25" t="s">
        <v>2391</v>
      </c>
      <c r="L1055" s="8"/>
      <c r="M1055" s="8"/>
      <c r="N1055" s="8"/>
    </row>
    <row r="1056" spans="1:14" ht="15.4" customHeight="1" thickBot="1" x14ac:dyDescent="0.25">
      <c r="A1056" s="8"/>
      <c r="B1056" s="8"/>
      <c r="C1056" s="8"/>
      <c r="D1056" s="26"/>
      <c r="E1056" s="27"/>
      <c r="F1056" s="28">
        <v>1</v>
      </c>
      <c r="G1056" s="29">
        <v>650</v>
      </c>
      <c r="H1056" s="29"/>
      <c r="I1056" s="29"/>
      <c r="J1056" s="31">
        <f>ROUND(F1056*G1056,2)</f>
        <v>650</v>
      </c>
      <c r="K1056" s="33">
        <f>SUM(J1056:J1056)</f>
        <v>650</v>
      </c>
      <c r="L1056" s="8"/>
      <c r="M1056" s="8"/>
      <c r="N1056" s="8"/>
    </row>
    <row r="1057" spans="1:14" ht="15.4" customHeight="1" thickBot="1" x14ac:dyDescent="0.25">
      <c r="A1057" s="12" t="s">
        <v>2392</v>
      </c>
      <c r="B1057" s="6" t="s">
        <v>2393</v>
      </c>
      <c r="C1057" s="6" t="s">
        <v>2394</v>
      </c>
      <c r="D1057" s="60" t="s">
        <v>2395</v>
      </c>
      <c r="E1057" s="60"/>
      <c r="F1057" s="60"/>
      <c r="G1057" s="60"/>
      <c r="H1057" s="60"/>
      <c r="I1057" s="60"/>
      <c r="J1057" s="60"/>
      <c r="K1057" s="22">
        <f>SUM(K1060:K1060)</f>
        <v>250</v>
      </c>
      <c r="L1057" s="22">
        <f>ROUND(4.08*(1+M2/100),2)</f>
        <v>4.08</v>
      </c>
      <c r="M1057" s="22">
        <f>ROUND(K1057*L1057,2)</f>
        <v>1020</v>
      </c>
      <c r="N1057" s="8"/>
    </row>
    <row r="1058" spans="1:14" ht="12.2" customHeight="1" thickBot="1" x14ac:dyDescent="0.25">
      <c r="A1058" s="8"/>
      <c r="B1058" s="8"/>
      <c r="C1058" s="8"/>
      <c r="D1058" s="60" t="s">
        <v>2396</v>
      </c>
      <c r="E1058" s="60"/>
      <c r="F1058" s="60"/>
      <c r="G1058" s="60"/>
      <c r="H1058" s="60"/>
      <c r="I1058" s="60"/>
      <c r="J1058" s="60"/>
      <c r="K1058" s="60"/>
      <c r="L1058" s="60"/>
      <c r="M1058" s="60"/>
      <c r="N1058" s="8"/>
    </row>
    <row r="1059" spans="1:14" ht="15.4" customHeight="1" thickBot="1" x14ac:dyDescent="0.25">
      <c r="A1059" s="8"/>
      <c r="B1059" s="8"/>
      <c r="C1059" s="8"/>
      <c r="D1059" s="8"/>
      <c r="E1059" s="23"/>
      <c r="F1059" s="25" t="s">
        <v>2397</v>
      </c>
      <c r="G1059" s="25" t="s">
        <v>2398</v>
      </c>
      <c r="H1059" s="25" t="s">
        <v>2399</v>
      </c>
      <c r="I1059" s="25" t="s">
        <v>2400</v>
      </c>
      <c r="J1059" s="25" t="s">
        <v>2401</v>
      </c>
      <c r="K1059" s="25" t="s">
        <v>2402</v>
      </c>
      <c r="L1059" s="8"/>
      <c r="M1059" s="8"/>
      <c r="N1059" s="8"/>
    </row>
    <row r="1060" spans="1:14" ht="15.4" customHeight="1" thickBot="1" x14ac:dyDescent="0.25">
      <c r="A1060" s="8"/>
      <c r="B1060" s="8"/>
      <c r="C1060" s="8"/>
      <c r="D1060" s="26"/>
      <c r="E1060" s="27"/>
      <c r="F1060" s="28">
        <v>1</v>
      </c>
      <c r="G1060" s="29">
        <v>250</v>
      </c>
      <c r="H1060" s="29"/>
      <c r="I1060" s="29"/>
      <c r="J1060" s="31">
        <f>ROUND(F1060*G1060,2)</f>
        <v>250</v>
      </c>
      <c r="K1060" s="33">
        <f>SUM(J1060:J1060)</f>
        <v>250</v>
      </c>
      <c r="L1060" s="8"/>
      <c r="M1060" s="8"/>
      <c r="N1060" s="8"/>
    </row>
    <row r="1061" spans="1:14" ht="15.4" customHeight="1" thickBot="1" x14ac:dyDescent="0.25">
      <c r="A1061" s="12" t="s">
        <v>2403</v>
      </c>
      <c r="B1061" s="6" t="s">
        <v>2404</v>
      </c>
      <c r="C1061" s="6" t="s">
        <v>2405</v>
      </c>
      <c r="D1061" s="60" t="s">
        <v>2406</v>
      </c>
      <c r="E1061" s="60"/>
      <c r="F1061" s="60"/>
      <c r="G1061" s="60"/>
      <c r="H1061" s="60"/>
      <c r="I1061" s="60"/>
      <c r="J1061" s="60"/>
      <c r="K1061" s="22">
        <f>SUM(K1064:K1064)</f>
        <v>500</v>
      </c>
      <c r="L1061" s="22">
        <f>ROUND(3.69*(1+M2/100),2)</f>
        <v>3.69</v>
      </c>
      <c r="M1061" s="22">
        <f>ROUND(K1061*L1061,2)</f>
        <v>1845</v>
      </c>
      <c r="N1061" s="8"/>
    </row>
    <row r="1062" spans="1:14" ht="12.2" customHeight="1" thickBot="1" x14ac:dyDescent="0.25">
      <c r="A1062" s="8"/>
      <c r="B1062" s="8"/>
      <c r="C1062" s="8"/>
      <c r="D1062" s="60" t="s">
        <v>2407</v>
      </c>
      <c r="E1062" s="60"/>
      <c r="F1062" s="60"/>
      <c r="G1062" s="60"/>
      <c r="H1062" s="60"/>
      <c r="I1062" s="60"/>
      <c r="J1062" s="60"/>
      <c r="K1062" s="60"/>
      <c r="L1062" s="60"/>
      <c r="M1062" s="60"/>
      <c r="N1062" s="8"/>
    </row>
    <row r="1063" spans="1:14" ht="15.4" customHeight="1" thickBot="1" x14ac:dyDescent="0.25">
      <c r="A1063" s="8"/>
      <c r="B1063" s="8"/>
      <c r="C1063" s="8"/>
      <c r="D1063" s="8"/>
      <c r="E1063" s="23"/>
      <c r="F1063" s="25" t="s">
        <v>2408</v>
      </c>
      <c r="G1063" s="25" t="s">
        <v>2409</v>
      </c>
      <c r="H1063" s="25" t="s">
        <v>2410</v>
      </c>
      <c r="I1063" s="25" t="s">
        <v>2411</v>
      </c>
      <c r="J1063" s="25" t="s">
        <v>2412</v>
      </c>
      <c r="K1063" s="25" t="s">
        <v>2413</v>
      </c>
      <c r="L1063" s="8"/>
      <c r="M1063" s="8"/>
      <c r="N1063" s="8"/>
    </row>
    <row r="1064" spans="1:14" ht="15.4" customHeight="1" thickBot="1" x14ac:dyDescent="0.25">
      <c r="A1064" s="8"/>
      <c r="B1064" s="8"/>
      <c r="C1064" s="8"/>
      <c r="D1064" s="26"/>
      <c r="E1064" s="27"/>
      <c r="F1064" s="28">
        <v>1</v>
      </c>
      <c r="G1064" s="29">
        <v>500</v>
      </c>
      <c r="H1064" s="29"/>
      <c r="I1064" s="29"/>
      <c r="J1064" s="31">
        <f>ROUND(F1064*G1064,2)</f>
        <v>500</v>
      </c>
      <c r="K1064" s="33">
        <f>SUM(J1064:J1064)</f>
        <v>500</v>
      </c>
      <c r="L1064" s="8"/>
      <c r="M1064" s="8"/>
      <c r="N1064" s="8"/>
    </row>
    <row r="1065" spans="1:14" ht="15.4" customHeight="1" thickBot="1" x14ac:dyDescent="0.25">
      <c r="A1065" s="12" t="s">
        <v>2414</v>
      </c>
      <c r="B1065" s="6" t="s">
        <v>2415</v>
      </c>
      <c r="C1065" s="6" t="s">
        <v>2416</v>
      </c>
      <c r="D1065" s="60" t="s">
        <v>2417</v>
      </c>
      <c r="E1065" s="60"/>
      <c r="F1065" s="60"/>
      <c r="G1065" s="60"/>
      <c r="H1065" s="60"/>
      <c r="I1065" s="60"/>
      <c r="J1065" s="60"/>
      <c r="K1065" s="22">
        <f>SUM(K1068:K1068)</f>
        <v>600</v>
      </c>
      <c r="L1065" s="22">
        <f>ROUND(3.9*(1+M2/100),2)</f>
        <v>3.9</v>
      </c>
      <c r="M1065" s="22">
        <f>ROUND(K1065*L1065,2)</f>
        <v>2340</v>
      </c>
      <c r="N1065" s="8"/>
    </row>
    <row r="1066" spans="1:14" ht="12.2" customHeight="1" thickBot="1" x14ac:dyDescent="0.25">
      <c r="A1066" s="8"/>
      <c r="B1066" s="8"/>
      <c r="C1066" s="8"/>
      <c r="D1066" s="60" t="s">
        <v>2418</v>
      </c>
      <c r="E1066" s="60"/>
      <c r="F1066" s="60"/>
      <c r="G1066" s="60"/>
      <c r="H1066" s="60"/>
      <c r="I1066" s="60"/>
      <c r="J1066" s="60"/>
      <c r="K1066" s="60"/>
      <c r="L1066" s="60"/>
      <c r="M1066" s="60"/>
      <c r="N1066" s="8"/>
    </row>
    <row r="1067" spans="1:14" ht="15.4" customHeight="1" thickBot="1" x14ac:dyDescent="0.25">
      <c r="A1067" s="8"/>
      <c r="B1067" s="8"/>
      <c r="C1067" s="8"/>
      <c r="D1067" s="8"/>
      <c r="E1067" s="23"/>
      <c r="F1067" s="25" t="s">
        <v>2419</v>
      </c>
      <c r="G1067" s="25" t="s">
        <v>2420</v>
      </c>
      <c r="H1067" s="25" t="s">
        <v>2421</v>
      </c>
      <c r="I1067" s="25" t="s">
        <v>2422</v>
      </c>
      <c r="J1067" s="25" t="s">
        <v>2423</v>
      </c>
      <c r="K1067" s="25" t="s">
        <v>2424</v>
      </c>
      <c r="L1067" s="8"/>
      <c r="M1067" s="8"/>
      <c r="N1067" s="8"/>
    </row>
    <row r="1068" spans="1:14" ht="15.4" customHeight="1" thickBot="1" x14ac:dyDescent="0.25">
      <c r="A1068" s="8"/>
      <c r="B1068" s="8"/>
      <c r="C1068" s="8"/>
      <c r="D1068" s="26"/>
      <c r="E1068" s="27"/>
      <c r="F1068" s="28">
        <v>1</v>
      </c>
      <c r="G1068" s="29">
        <v>600</v>
      </c>
      <c r="H1068" s="29"/>
      <c r="I1068" s="29"/>
      <c r="J1068" s="31">
        <f>ROUND(F1068*G1068,2)</f>
        <v>600</v>
      </c>
      <c r="K1068" s="33">
        <f>SUM(J1068:J1068)</f>
        <v>600</v>
      </c>
      <c r="L1068" s="8"/>
      <c r="M1068" s="8"/>
      <c r="N1068" s="8"/>
    </row>
    <row r="1069" spans="1:14" ht="15.4" customHeight="1" thickBot="1" x14ac:dyDescent="0.25">
      <c r="A1069" s="12" t="s">
        <v>2425</v>
      </c>
      <c r="B1069" s="6" t="s">
        <v>2426</v>
      </c>
      <c r="C1069" s="6" t="s">
        <v>2427</v>
      </c>
      <c r="D1069" s="60" t="s">
        <v>2428</v>
      </c>
      <c r="E1069" s="60"/>
      <c r="F1069" s="60"/>
      <c r="G1069" s="60"/>
      <c r="H1069" s="60"/>
      <c r="I1069" s="60"/>
      <c r="J1069" s="60"/>
      <c r="K1069" s="22">
        <f>SUM(K1072:K1072)</f>
        <v>250</v>
      </c>
      <c r="L1069" s="22">
        <f>ROUND(4.27*(1+M2/100),2)</f>
        <v>4.2699999999999996</v>
      </c>
      <c r="M1069" s="22">
        <f>ROUND(K1069*L1069,2)</f>
        <v>1067.5</v>
      </c>
      <c r="N1069" s="8"/>
    </row>
    <row r="1070" spans="1:14" ht="12.2" customHeight="1" thickBot="1" x14ac:dyDescent="0.25">
      <c r="A1070" s="8"/>
      <c r="B1070" s="8"/>
      <c r="C1070" s="8"/>
      <c r="D1070" s="60" t="s">
        <v>2429</v>
      </c>
      <c r="E1070" s="60"/>
      <c r="F1070" s="60"/>
      <c r="G1070" s="60"/>
      <c r="H1070" s="60"/>
      <c r="I1070" s="60"/>
      <c r="J1070" s="60"/>
      <c r="K1070" s="60"/>
      <c r="L1070" s="60"/>
      <c r="M1070" s="60"/>
      <c r="N1070" s="8"/>
    </row>
    <row r="1071" spans="1:14" ht="15.4" customHeight="1" thickBot="1" x14ac:dyDescent="0.25">
      <c r="A1071" s="8"/>
      <c r="B1071" s="8"/>
      <c r="C1071" s="8"/>
      <c r="D1071" s="8"/>
      <c r="E1071" s="23"/>
      <c r="F1071" s="25" t="s">
        <v>2430</v>
      </c>
      <c r="G1071" s="25" t="s">
        <v>2431</v>
      </c>
      <c r="H1071" s="25" t="s">
        <v>2432</v>
      </c>
      <c r="I1071" s="25" t="s">
        <v>2433</v>
      </c>
      <c r="J1071" s="25" t="s">
        <v>2434</v>
      </c>
      <c r="K1071" s="25" t="s">
        <v>2435</v>
      </c>
      <c r="L1071" s="8"/>
      <c r="M1071" s="8"/>
      <c r="N1071" s="8"/>
    </row>
    <row r="1072" spans="1:14" ht="15.4" customHeight="1" thickBot="1" x14ac:dyDescent="0.25">
      <c r="A1072" s="8"/>
      <c r="B1072" s="8"/>
      <c r="C1072" s="8"/>
      <c r="D1072" s="26"/>
      <c r="E1072" s="27"/>
      <c r="F1072" s="28">
        <v>1</v>
      </c>
      <c r="G1072" s="29">
        <v>250</v>
      </c>
      <c r="H1072" s="29"/>
      <c r="I1072" s="29"/>
      <c r="J1072" s="31">
        <f>ROUND(F1072*G1072,2)</f>
        <v>250</v>
      </c>
      <c r="K1072" s="33">
        <f>SUM(J1072:J1072)</f>
        <v>250</v>
      </c>
      <c r="L1072" s="8"/>
      <c r="M1072" s="8"/>
      <c r="N1072" s="8"/>
    </row>
    <row r="1073" spans="1:14" ht="15.4" customHeight="1" thickBot="1" x14ac:dyDescent="0.25">
      <c r="A1073" s="12" t="s">
        <v>2436</v>
      </c>
      <c r="B1073" s="6" t="s">
        <v>2437</v>
      </c>
      <c r="C1073" s="6" t="s">
        <v>2438</v>
      </c>
      <c r="D1073" s="60" t="s">
        <v>2439</v>
      </c>
      <c r="E1073" s="60"/>
      <c r="F1073" s="60"/>
      <c r="G1073" s="60"/>
      <c r="H1073" s="60"/>
      <c r="I1073" s="60"/>
      <c r="J1073" s="60"/>
      <c r="K1073" s="22">
        <f>SUM(K1076:K1076)</f>
        <v>250</v>
      </c>
      <c r="L1073" s="22">
        <f>ROUND(5.03*(1+M2/100),2)</f>
        <v>5.03</v>
      </c>
      <c r="M1073" s="22">
        <f>ROUND(K1073*L1073,2)</f>
        <v>1257.5</v>
      </c>
      <c r="N1073" s="8"/>
    </row>
    <row r="1074" spans="1:14" ht="40.35" customHeight="1" thickBot="1" x14ac:dyDescent="0.25">
      <c r="A1074" s="8"/>
      <c r="B1074" s="8"/>
      <c r="C1074" s="8"/>
      <c r="D1074" s="60" t="s">
        <v>2440</v>
      </c>
      <c r="E1074" s="60"/>
      <c r="F1074" s="60"/>
      <c r="G1074" s="60"/>
      <c r="H1074" s="60"/>
      <c r="I1074" s="60"/>
      <c r="J1074" s="60"/>
      <c r="K1074" s="60"/>
      <c r="L1074" s="60"/>
      <c r="M1074" s="60"/>
      <c r="N1074" s="8"/>
    </row>
    <row r="1075" spans="1:14" ht="15.4" customHeight="1" thickBot="1" x14ac:dyDescent="0.25">
      <c r="A1075" s="8"/>
      <c r="B1075" s="8"/>
      <c r="C1075" s="8"/>
      <c r="D1075" s="8"/>
      <c r="E1075" s="23"/>
      <c r="F1075" s="25" t="s">
        <v>2441</v>
      </c>
      <c r="G1075" s="25" t="s">
        <v>2442</v>
      </c>
      <c r="H1075" s="25" t="s">
        <v>2443</v>
      </c>
      <c r="I1075" s="25" t="s">
        <v>2444</v>
      </c>
      <c r="J1075" s="25" t="s">
        <v>2445</v>
      </c>
      <c r="K1075" s="25" t="s">
        <v>2446</v>
      </c>
      <c r="L1075" s="8"/>
      <c r="M1075" s="8"/>
      <c r="N1075" s="8"/>
    </row>
    <row r="1076" spans="1:14" ht="15.4" customHeight="1" thickBot="1" x14ac:dyDescent="0.25">
      <c r="A1076" s="8"/>
      <c r="B1076" s="8"/>
      <c r="C1076" s="8"/>
      <c r="D1076" s="26"/>
      <c r="E1076" s="27"/>
      <c r="F1076" s="28">
        <v>1</v>
      </c>
      <c r="G1076" s="29">
        <v>250</v>
      </c>
      <c r="H1076" s="29"/>
      <c r="I1076" s="29"/>
      <c r="J1076" s="31">
        <f>ROUND(F1076*G1076,2)</f>
        <v>250</v>
      </c>
      <c r="K1076" s="33">
        <f>SUM(J1076:J1076)</f>
        <v>250</v>
      </c>
      <c r="L1076" s="8"/>
      <c r="M1076" s="8"/>
      <c r="N1076" s="8"/>
    </row>
    <row r="1077" spans="1:14" ht="15.4" customHeight="1" thickBot="1" x14ac:dyDescent="0.25">
      <c r="A1077" s="36"/>
      <c r="B1077" s="36"/>
      <c r="C1077" s="36"/>
      <c r="D1077" s="37" t="s">
        <v>2447</v>
      </c>
      <c r="E1077" s="38"/>
      <c r="F1077" s="38"/>
      <c r="G1077" s="38"/>
      <c r="H1077" s="38"/>
      <c r="I1077" s="38"/>
      <c r="J1077" s="38"/>
      <c r="K1077" s="38"/>
      <c r="L1077" s="39">
        <f>M1053+M1057+M1061+M1065+M1069+M1073</f>
        <v>10182</v>
      </c>
      <c r="M1077" s="39">
        <f>ROUND(L1077,2)</f>
        <v>10182</v>
      </c>
      <c r="N1077" s="8"/>
    </row>
    <row r="1078" spans="1:14" ht="15.4" customHeight="1" thickBot="1" x14ac:dyDescent="0.25">
      <c r="A1078" s="43"/>
      <c r="B1078" s="43"/>
      <c r="C1078" s="43"/>
      <c r="D1078" s="44" t="s">
        <v>2448</v>
      </c>
      <c r="E1078" s="45"/>
      <c r="F1078" s="45"/>
      <c r="G1078" s="45"/>
      <c r="H1078" s="45"/>
      <c r="I1078" s="45"/>
      <c r="J1078" s="45"/>
      <c r="K1078" s="45"/>
      <c r="L1078" s="46">
        <f>M955+M1017+M1051+M1077</f>
        <v>81369.23</v>
      </c>
      <c r="M1078" s="46">
        <f>ROUND(L1078,2)</f>
        <v>81369.23</v>
      </c>
      <c r="N1078" s="8"/>
    </row>
    <row r="1079" spans="1:14" ht="15.4" customHeight="1" thickBot="1" x14ac:dyDescent="0.25">
      <c r="A1079" s="47" t="s">
        <v>2449</v>
      </c>
      <c r="B1079" s="47" t="s">
        <v>2450</v>
      </c>
      <c r="C1079" s="48"/>
      <c r="D1079" s="62" t="s">
        <v>2451</v>
      </c>
      <c r="E1079" s="62"/>
      <c r="F1079" s="62"/>
      <c r="G1079" s="62"/>
      <c r="H1079" s="62"/>
      <c r="I1079" s="62"/>
      <c r="J1079" s="62"/>
      <c r="K1079" s="48"/>
      <c r="L1079" s="49">
        <f>L1381</f>
        <v>67267.66</v>
      </c>
      <c r="M1079" s="49">
        <f>ROUND(L1079,2)</f>
        <v>67267.66</v>
      </c>
      <c r="N1079" s="8"/>
    </row>
    <row r="1080" spans="1:14" ht="15.4" customHeight="1" thickBot="1" x14ac:dyDescent="0.25">
      <c r="A1080" s="19" t="s">
        <v>2452</v>
      </c>
      <c r="B1080" s="19" t="s">
        <v>2453</v>
      </c>
      <c r="C1080" s="20"/>
      <c r="D1080" s="59" t="s">
        <v>2454</v>
      </c>
      <c r="E1080" s="59"/>
      <c r="F1080" s="59"/>
      <c r="G1080" s="59"/>
      <c r="H1080" s="59"/>
      <c r="I1080" s="59"/>
      <c r="J1080" s="59"/>
      <c r="K1080" s="20"/>
      <c r="L1080" s="21">
        <f>L1165</f>
        <v>14398.170000000002</v>
      </c>
      <c r="M1080" s="21">
        <f>ROUND(L1080,2)</f>
        <v>14398.17</v>
      </c>
      <c r="N1080" s="8"/>
    </row>
    <row r="1081" spans="1:14" ht="15.4" customHeight="1" thickBot="1" x14ac:dyDescent="0.25">
      <c r="A1081" s="12" t="s">
        <v>2455</v>
      </c>
      <c r="B1081" s="6" t="s">
        <v>2456</v>
      </c>
      <c r="C1081" s="6" t="s">
        <v>2457</v>
      </c>
      <c r="D1081" s="60" t="s">
        <v>2458</v>
      </c>
      <c r="E1081" s="60"/>
      <c r="F1081" s="60"/>
      <c r="G1081" s="60"/>
      <c r="H1081" s="60"/>
      <c r="I1081" s="60"/>
      <c r="J1081" s="60"/>
      <c r="K1081" s="22">
        <f>SUM(K1084:K1084)</f>
        <v>1</v>
      </c>
      <c r="L1081" s="22">
        <f>ROUND(441.63*(1+M2/100),2)</f>
        <v>441.63</v>
      </c>
      <c r="M1081" s="22">
        <f>ROUND(K1081*L1081,2)</f>
        <v>441.63</v>
      </c>
      <c r="N1081" s="8"/>
    </row>
    <row r="1082" spans="1:14" ht="30.95" customHeight="1" thickBot="1" x14ac:dyDescent="0.25">
      <c r="A1082" s="8"/>
      <c r="B1082" s="8"/>
      <c r="C1082" s="8"/>
      <c r="D1082" s="60" t="s">
        <v>2459</v>
      </c>
      <c r="E1082" s="60"/>
      <c r="F1082" s="60"/>
      <c r="G1082" s="60"/>
      <c r="H1082" s="60"/>
      <c r="I1082" s="60"/>
      <c r="J1082" s="60"/>
      <c r="K1082" s="60"/>
      <c r="L1082" s="60"/>
      <c r="M1082" s="60"/>
      <c r="N1082" s="8"/>
    </row>
    <row r="1083" spans="1:14" ht="15.4" customHeight="1" thickBot="1" x14ac:dyDescent="0.25">
      <c r="A1083" s="8"/>
      <c r="B1083" s="8"/>
      <c r="C1083" s="8"/>
      <c r="D1083" s="8"/>
      <c r="E1083" s="23"/>
      <c r="F1083" s="25" t="s">
        <v>2460</v>
      </c>
      <c r="G1083" s="25" t="s">
        <v>2461</v>
      </c>
      <c r="H1083" s="25" t="s">
        <v>2462</v>
      </c>
      <c r="I1083" s="25" t="s">
        <v>2463</v>
      </c>
      <c r="J1083" s="25" t="s">
        <v>2464</v>
      </c>
      <c r="K1083" s="25" t="s">
        <v>2465</v>
      </c>
      <c r="L1083" s="8"/>
      <c r="M1083" s="8"/>
      <c r="N1083" s="8"/>
    </row>
    <row r="1084" spans="1:14" ht="15.4" customHeight="1" thickBot="1" x14ac:dyDescent="0.25">
      <c r="A1084" s="8"/>
      <c r="B1084" s="8"/>
      <c r="C1084" s="8"/>
      <c r="D1084" s="26"/>
      <c r="E1084" s="27"/>
      <c r="F1084" s="28">
        <v>1</v>
      </c>
      <c r="G1084" s="29"/>
      <c r="H1084" s="29"/>
      <c r="I1084" s="29"/>
      <c r="J1084" s="31">
        <f>ROUND(F1084,2)</f>
        <v>1</v>
      </c>
      <c r="K1084" s="33">
        <f>SUM(J1084:J1084)</f>
        <v>1</v>
      </c>
      <c r="L1084" s="8"/>
      <c r="M1084" s="8"/>
      <c r="N1084" s="8"/>
    </row>
    <row r="1085" spans="1:14" ht="15.4" customHeight="1" thickBot="1" x14ac:dyDescent="0.25">
      <c r="A1085" s="12" t="s">
        <v>2466</v>
      </c>
      <c r="B1085" s="6" t="s">
        <v>2467</v>
      </c>
      <c r="C1085" s="6" t="s">
        <v>2468</v>
      </c>
      <c r="D1085" s="60" t="s">
        <v>2469</v>
      </c>
      <c r="E1085" s="60"/>
      <c r="F1085" s="60"/>
      <c r="G1085" s="60"/>
      <c r="H1085" s="60"/>
      <c r="I1085" s="60"/>
      <c r="J1085" s="60"/>
      <c r="K1085" s="22">
        <f>SUM(K1088:K1088)</f>
        <v>1</v>
      </c>
      <c r="L1085" s="22">
        <f>ROUND(360.28*(1+M2/100),2)</f>
        <v>360.28</v>
      </c>
      <c r="M1085" s="22">
        <f>ROUND(K1085*L1085,2)</f>
        <v>360.28</v>
      </c>
      <c r="N1085" s="8"/>
    </row>
    <row r="1086" spans="1:14" ht="12.2" customHeight="1" thickBot="1" x14ac:dyDescent="0.25">
      <c r="A1086" s="8"/>
      <c r="B1086" s="8"/>
      <c r="C1086" s="8"/>
      <c r="D1086" s="60" t="s">
        <v>2470</v>
      </c>
      <c r="E1086" s="60"/>
      <c r="F1086" s="60"/>
      <c r="G1086" s="60"/>
      <c r="H1086" s="60"/>
      <c r="I1086" s="60"/>
      <c r="J1086" s="60"/>
      <c r="K1086" s="60"/>
      <c r="L1086" s="60"/>
      <c r="M1086" s="60"/>
      <c r="N1086" s="8"/>
    </row>
    <row r="1087" spans="1:14" ht="15.4" customHeight="1" thickBot="1" x14ac:dyDescent="0.25">
      <c r="A1087" s="8"/>
      <c r="B1087" s="8"/>
      <c r="C1087" s="8"/>
      <c r="D1087" s="8"/>
      <c r="E1087" s="23"/>
      <c r="F1087" s="25" t="s">
        <v>2471</v>
      </c>
      <c r="G1087" s="25" t="s">
        <v>2472</v>
      </c>
      <c r="H1087" s="25" t="s">
        <v>2473</v>
      </c>
      <c r="I1087" s="25" t="s">
        <v>2474</v>
      </c>
      <c r="J1087" s="25" t="s">
        <v>2475</v>
      </c>
      <c r="K1087" s="25" t="s">
        <v>2476</v>
      </c>
      <c r="L1087" s="8"/>
      <c r="M1087" s="8"/>
      <c r="N1087" s="8"/>
    </row>
    <row r="1088" spans="1:14" ht="15.4" customHeight="1" thickBot="1" x14ac:dyDescent="0.25">
      <c r="A1088" s="8"/>
      <c r="B1088" s="8"/>
      <c r="C1088" s="8"/>
      <c r="D1088" s="26"/>
      <c r="E1088" s="27"/>
      <c r="F1088" s="28">
        <v>1</v>
      </c>
      <c r="G1088" s="29"/>
      <c r="H1088" s="29"/>
      <c r="I1088" s="29"/>
      <c r="J1088" s="31">
        <f>ROUND(F1088,2)</f>
        <v>1</v>
      </c>
      <c r="K1088" s="33">
        <f>SUM(J1088:J1088)</f>
        <v>1</v>
      </c>
      <c r="L1088" s="8"/>
      <c r="M1088" s="8"/>
      <c r="N1088" s="8"/>
    </row>
    <row r="1089" spans="1:14" ht="15.4" customHeight="1" thickBot="1" x14ac:dyDescent="0.25">
      <c r="A1089" s="12" t="s">
        <v>2477</v>
      </c>
      <c r="B1089" s="6" t="s">
        <v>2478</v>
      </c>
      <c r="C1089" s="6" t="s">
        <v>2479</v>
      </c>
      <c r="D1089" s="60" t="s">
        <v>2480</v>
      </c>
      <c r="E1089" s="60"/>
      <c r="F1089" s="60"/>
      <c r="G1089" s="60"/>
      <c r="H1089" s="60"/>
      <c r="I1089" s="60"/>
      <c r="J1089" s="60"/>
      <c r="K1089" s="22">
        <f>SUM(K1092:K1092)</f>
        <v>1</v>
      </c>
      <c r="L1089" s="22">
        <f>ROUND(429.12*(1+M2/100),2)</f>
        <v>429.12</v>
      </c>
      <c r="M1089" s="22">
        <f>ROUND(K1089*L1089,2)</f>
        <v>429.12</v>
      </c>
      <c r="N1089" s="8"/>
    </row>
    <row r="1090" spans="1:14" ht="40.35" customHeight="1" thickBot="1" x14ac:dyDescent="0.25">
      <c r="A1090" s="8"/>
      <c r="B1090" s="8"/>
      <c r="C1090" s="8"/>
      <c r="D1090" s="60" t="s">
        <v>2481</v>
      </c>
      <c r="E1090" s="60"/>
      <c r="F1090" s="60"/>
      <c r="G1090" s="60"/>
      <c r="H1090" s="60"/>
      <c r="I1090" s="60"/>
      <c r="J1090" s="60"/>
      <c r="K1090" s="60"/>
      <c r="L1090" s="60"/>
      <c r="M1090" s="60"/>
      <c r="N1090" s="8"/>
    </row>
    <row r="1091" spans="1:14" ht="15.4" customHeight="1" thickBot="1" x14ac:dyDescent="0.25">
      <c r="A1091" s="8"/>
      <c r="B1091" s="8"/>
      <c r="C1091" s="8"/>
      <c r="D1091" s="8"/>
      <c r="E1091" s="23"/>
      <c r="F1091" s="25" t="s">
        <v>2482</v>
      </c>
      <c r="G1091" s="25" t="s">
        <v>2483</v>
      </c>
      <c r="H1091" s="25" t="s">
        <v>2484</v>
      </c>
      <c r="I1091" s="25" t="s">
        <v>2485</v>
      </c>
      <c r="J1091" s="25" t="s">
        <v>2486</v>
      </c>
      <c r="K1091" s="25" t="s">
        <v>2487</v>
      </c>
      <c r="L1091" s="8"/>
      <c r="M1091" s="8"/>
      <c r="N1091" s="8"/>
    </row>
    <row r="1092" spans="1:14" ht="15.4" customHeight="1" thickBot="1" x14ac:dyDescent="0.25">
      <c r="A1092" s="8"/>
      <c r="B1092" s="8"/>
      <c r="C1092" s="8"/>
      <c r="D1092" s="26"/>
      <c r="E1092" s="27"/>
      <c r="F1092" s="28">
        <v>1</v>
      </c>
      <c r="G1092" s="29"/>
      <c r="H1092" s="29"/>
      <c r="I1092" s="29"/>
      <c r="J1092" s="31">
        <f>ROUND(F1092,2)</f>
        <v>1</v>
      </c>
      <c r="K1092" s="33">
        <f>SUM(J1092:J1092)</f>
        <v>1</v>
      </c>
      <c r="L1092" s="8"/>
      <c r="M1092" s="8"/>
      <c r="N1092" s="8"/>
    </row>
    <row r="1093" spans="1:14" ht="15.4" customHeight="1" thickBot="1" x14ac:dyDescent="0.25">
      <c r="A1093" s="12" t="s">
        <v>2488</v>
      </c>
      <c r="B1093" s="6" t="s">
        <v>2489</v>
      </c>
      <c r="C1093" s="6" t="s">
        <v>2490</v>
      </c>
      <c r="D1093" s="60" t="s">
        <v>2491</v>
      </c>
      <c r="E1093" s="60"/>
      <c r="F1093" s="60"/>
      <c r="G1093" s="60"/>
      <c r="H1093" s="60"/>
      <c r="I1093" s="60"/>
      <c r="J1093" s="60"/>
      <c r="K1093" s="22">
        <f>SUM(K1096:K1096)</f>
        <v>1</v>
      </c>
      <c r="L1093" s="22">
        <f>ROUND(2551.86*(1+M2/100),2)</f>
        <v>2551.86</v>
      </c>
      <c r="M1093" s="22">
        <f>ROUND(K1093*L1093,2)</f>
        <v>2551.86</v>
      </c>
      <c r="N1093" s="8"/>
    </row>
    <row r="1094" spans="1:14" ht="68.45" customHeight="1" thickBot="1" x14ac:dyDescent="0.25">
      <c r="A1094" s="8"/>
      <c r="B1094" s="8"/>
      <c r="C1094" s="8"/>
      <c r="D1094" s="60" t="s">
        <v>2492</v>
      </c>
      <c r="E1094" s="60"/>
      <c r="F1094" s="60"/>
      <c r="G1094" s="60"/>
      <c r="H1094" s="60"/>
      <c r="I1094" s="60"/>
      <c r="J1094" s="60"/>
      <c r="K1094" s="60"/>
      <c r="L1094" s="60"/>
      <c r="M1094" s="60"/>
      <c r="N1094" s="8"/>
    </row>
    <row r="1095" spans="1:14" ht="15.4" customHeight="1" thickBot="1" x14ac:dyDescent="0.25">
      <c r="A1095" s="8"/>
      <c r="B1095" s="8"/>
      <c r="C1095" s="8"/>
      <c r="D1095" s="8"/>
      <c r="E1095" s="23"/>
      <c r="F1095" s="25" t="s">
        <v>2493</v>
      </c>
      <c r="G1095" s="25" t="s">
        <v>2494</v>
      </c>
      <c r="H1095" s="25" t="s">
        <v>2495</v>
      </c>
      <c r="I1095" s="25" t="s">
        <v>2496</v>
      </c>
      <c r="J1095" s="25" t="s">
        <v>2497</v>
      </c>
      <c r="K1095" s="25" t="s">
        <v>2498</v>
      </c>
      <c r="L1095" s="8"/>
      <c r="M1095" s="8"/>
      <c r="N1095" s="8"/>
    </row>
    <row r="1096" spans="1:14" ht="15.4" customHeight="1" thickBot="1" x14ac:dyDescent="0.25">
      <c r="A1096" s="8"/>
      <c r="B1096" s="8"/>
      <c r="C1096" s="8"/>
      <c r="D1096" s="26"/>
      <c r="E1096" s="27"/>
      <c r="F1096" s="28">
        <v>1</v>
      </c>
      <c r="G1096" s="29"/>
      <c r="H1096" s="29"/>
      <c r="I1096" s="29"/>
      <c r="J1096" s="31">
        <f>ROUND(F1096,2)</f>
        <v>1</v>
      </c>
      <c r="K1096" s="33">
        <f>SUM(J1096:J1096)</f>
        <v>1</v>
      </c>
      <c r="L1096" s="8"/>
      <c r="M1096" s="8"/>
      <c r="N1096" s="8"/>
    </row>
    <row r="1097" spans="1:14" ht="15.4" customHeight="1" thickBot="1" x14ac:dyDescent="0.25">
      <c r="A1097" s="12" t="s">
        <v>2499</v>
      </c>
      <c r="B1097" s="6" t="s">
        <v>2500</v>
      </c>
      <c r="C1097" s="6" t="s">
        <v>2501</v>
      </c>
      <c r="D1097" s="60" t="s">
        <v>2502</v>
      </c>
      <c r="E1097" s="60"/>
      <c r="F1097" s="60"/>
      <c r="G1097" s="60"/>
      <c r="H1097" s="60"/>
      <c r="I1097" s="60"/>
      <c r="J1097" s="60"/>
      <c r="K1097" s="22">
        <f>SUM(K1100:K1100)</f>
        <v>1</v>
      </c>
      <c r="L1097" s="22">
        <f>ROUND(520.25*(1+M2/100),2)</f>
        <v>520.25</v>
      </c>
      <c r="M1097" s="22">
        <f>ROUND(K1097*L1097,2)</f>
        <v>520.25</v>
      </c>
      <c r="N1097" s="8"/>
    </row>
    <row r="1098" spans="1:14" ht="30.95" customHeight="1" thickBot="1" x14ac:dyDescent="0.25">
      <c r="A1098" s="8"/>
      <c r="B1098" s="8"/>
      <c r="C1098" s="8"/>
      <c r="D1098" s="60" t="s">
        <v>2503</v>
      </c>
      <c r="E1098" s="60"/>
      <c r="F1098" s="60"/>
      <c r="G1098" s="60"/>
      <c r="H1098" s="60"/>
      <c r="I1098" s="60"/>
      <c r="J1098" s="60"/>
      <c r="K1098" s="60"/>
      <c r="L1098" s="60"/>
      <c r="M1098" s="60"/>
      <c r="N1098" s="8"/>
    </row>
    <row r="1099" spans="1:14" ht="15.4" customHeight="1" thickBot="1" x14ac:dyDescent="0.25">
      <c r="A1099" s="8"/>
      <c r="B1099" s="8"/>
      <c r="C1099" s="8"/>
      <c r="D1099" s="8"/>
      <c r="E1099" s="23"/>
      <c r="F1099" s="25" t="s">
        <v>2504</v>
      </c>
      <c r="G1099" s="25" t="s">
        <v>2505</v>
      </c>
      <c r="H1099" s="25" t="s">
        <v>2506</v>
      </c>
      <c r="I1099" s="25" t="s">
        <v>2507</v>
      </c>
      <c r="J1099" s="25" t="s">
        <v>2508</v>
      </c>
      <c r="K1099" s="25" t="s">
        <v>2509</v>
      </c>
      <c r="L1099" s="8"/>
      <c r="M1099" s="8"/>
      <c r="N1099" s="8"/>
    </row>
    <row r="1100" spans="1:14" ht="15.4" customHeight="1" thickBot="1" x14ac:dyDescent="0.25">
      <c r="A1100" s="8"/>
      <c r="B1100" s="8"/>
      <c r="C1100" s="8"/>
      <c r="D1100" s="26"/>
      <c r="E1100" s="27"/>
      <c r="F1100" s="28">
        <v>1</v>
      </c>
      <c r="G1100" s="29"/>
      <c r="H1100" s="29"/>
      <c r="I1100" s="29"/>
      <c r="J1100" s="31">
        <f>ROUND(F1100,2)</f>
        <v>1</v>
      </c>
      <c r="K1100" s="33">
        <f>SUM(J1100:J1100)</f>
        <v>1</v>
      </c>
      <c r="L1100" s="8"/>
      <c r="M1100" s="8"/>
      <c r="N1100" s="8"/>
    </row>
    <row r="1101" spans="1:14" ht="15.4" customHeight="1" thickBot="1" x14ac:dyDescent="0.25">
      <c r="A1101" s="12" t="s">
        <v>2510</v>
      </c>
      <c r="B1101" s="6" t="s">
        <v>2511</v>
      </c>
      <c r="C1101" s="6" t="s">
        <v>2512</v>
      </c>
      <c r="D1101" s="60" t="s">
        <v>2513</v>
      </c>
      <c r="E1101" s="60"/>
      <c r="F1101" s="60"/>
      <c r="G1101" s="60"/>
      <c r="H1101" s="60"/>
      <c r="I1101" s="60"/>
      <c r="J1101" s="60"/>
      <c r="K1101" s="22">
        <f>SUM(K1104:K1104)</f>
        <v>1</v>
      </c>
      <c r="L1101" s="22">
        <f>ROUND(2570.6*(1+M2/100),2)</f>
        <v>2570.6</v>
      </c>
      <c r="M1101" s="22">
        <f>ROUND(K1101*L1101,2)</f>
        <v>2570.6</v>
      </c>
      <c r="N1101" s="8"/>
    </row>
    <row r="1102" spans="1:14" ht="30.95" customHeight="1" thickBot="1" x14ac:dyDescent="0.25">
      <c r="A1102" s="8"/>
      <c r="B1102" s="8"/>
      <c r="C1102" s="8"/>
      <c r="D1102" s="60" t="s">
        <v>2514</v>
      </c>
      <c r="E1102" s="60"/>
      <c r="F1102" s="60"/>
      <c r="G1102" s="60"/>
      <c r="H1102" s="60"/>
      <c r="I1102" s="60"/>
      <c r="J1102" s="60"/>
      <c r="K1102" s="60"/>
      <c r="L1102" s="60"/>
      <c r="M1102" s="60"/>
      <c r="N1102" s="8"/>
    </row>
    <row r="1103" spans="1:14" ht="15.4" customHeight="1" thickBot="1" x14ac:dyDescent="0.25">
      <c r="A1103" s="8"/>
      <c r="B1103" s="8"/>
      <c r="C1103" s="8"/>
      <c r="D1103" s="8"/>
      <c r="E1103" s="23"/>
      <c r="F1103" s="25" t="s">
        <v>2515</v>
      </c>
      <c r="G1103" s="25" t="s">
        <v>2516</v>
      </c>
      <c r="H1103" s="25" t="s">
        <v>2517</v>
      </c>
      <c r="I1103" s="25" t="s">
        <v>2518</v>
      </c>
      <c r="J1103" s="25" t="s">
        <v>2519</v>
      </c>
      <c r="K1103" s="25" t="s">
        <v>2520</v>
      </c>
      <c r="L1103" s="8"/>
      <c r="M1103" s="8"/>
      <c r="N1103" s="8"/>
    </row>
    <row r="1104" spans="1:14" ht="15.4" customHeight="1" thickBot="1" x14ac:dyDescent="0.25">
      <c r="A1104" s="8"/>
      <c r="B1104" s="8"/>
      <c r="C1104" s="8"/>
      <c r="D1104" s="26"/>
      <c r="E1104" s="27"/>
      <c r="F1104" s="28">
        <v>1</v>
      </c>
      <c r="G1104" s="29"/>
      <c r="H1104" s="29"/>
      <c r="I1104" s="29"/>
      <c r="J1104" s="31">
        <f>ROUND(F1104,2)</f>
        <v>1</v>
      </c>
      <c r="K1104" s="33">
        <f>SUM(J1104:J1104)</f>
        <v>1</v>
      </c>
      <c r="L1104" s="8"/>
      <c r="M1104" s="8"/>
      <c r="N1104" s="8"/>
    </row>
    <row r="1105" spans="1:14" ht="15.4" customHeight="1" thickBot="1" x14ac:dyDescent="0.25">
      <c r="A1105" s="12" t="s">
        <v>2521</v>
      </c>
      <c r="B1105" s="6" t="s">
        <v>2522</v>
      </c>
      <c r="C1105" s="6" t="s">
        <v>2523</v>
      </c>
      <c r="D1105" s="60" t="s">
        <v>2524</v>
      </c>
      <c r="E1105" s="60"/>
      <c r="F1105" s="60"/>
      <c r="G1105" s="60"/>
      <c r="H1105" s="60"/>
      <c r="I1105" s="60"/>
      <c r="J1105" s="60"/>
      <c r="K1105" s="22">
        <f>SUM(K1108:K1108)</f>
        <v>2</v>
      </c>
      <c r="L1105" s="22">
        <f>ROUND(259.47*(1+M2/100),2)</f>
        <v>259.47000000000003</v>
      </c>
      <c r="M1105" s="22">
        <f>ROUND(K1105*L1105,2)</f>
        <v>518.94000000000005</v>
      </c>
      <c r="N1105" s="8"/>
    </row>
    <row r="1106" spans="1:14" ht="21.6" customHeight="1" thickBot="1" x14ac:dyDescent="0.25">
      <c r="A1106" s="8"/>
      <c r="B1106" s="8"/>
      <c r="C1106" s="8"/>
      <c r="D1106" s="60" t="s">
        <v>2525</v>
      </c>
      <c r="E1106" s="60"/>
      <c r="F1106" s="60"/>
      <c r="G1106" s="60"/>
      <c r="H1106" s="60"/>
      <c r="I1106" s="60"/>
      <c r="J1106" s="60"/>
      <c r="K1106" s="60"/>
      <c r="L1106" s="60"/>
      <c r="M1106" s="60"/>
      <c r="N1106" s="8"/>
    </row>
    <row r="1107" spans="1:14" ht="15.4" customHeight="1" thickBot="1" x14ac:dyDescent="0.25">
      <c r="A1107" s="8"/>
      <c r="B1107" s="8"/>
      <c r="C1107" s="8"/>
      <c r="D1107" s="8"/>
      <c r="E1107" s="23"/>
      <c r="F1107" s="25" t="s">
        <v>2526</v>
      </c>
      <c r="G1107" s="25" t="s">
        <v>2527</v>
      </c>
      <c r="H1107" s="25" t="s">
        <v>2528</v>
      </c>
      <c r="I1107" s="25" t="s">
        <v>2529</v>
      </c>
      <c r="J1107" s="25" t="s">
        <v>2530</v>
      </c>
      <c r="K1107" s="25" t="s">
        <v>2531</v>
      </c>
      <c r="L1107" s="8"/>
      <c r="M1107" s="8"/>
      <c r="N1107" s="8"/>
    </row>
    <row r="1108" spans="1:14" ht="21.6" customHeight="1" thickBot="1" x14ac:dyDescent="0.25">
      <c r="A1108" s="8"/>
      <c r="B1108" s="8"/>
      <c r="C1108" s="8"/>
      <c r="D1108" s="26"/>
      <c r="E1108" s="27" t="s">
        <v>2532</v>
      </c>
      <c r="F1108" s="28">
        <v>2</v>
      </c>
      <c r="G1108" s="29"/>
      <c r="H1108" s="29"/>
      <c r="I1108" s="29"/>
      <c r="J1108" s="31">
        <f>ROUND(F1108,2)</f>
        <v>2</v>
      </c>
      <c r="K1108" s="33">
        <f>SUM(J1108:J1108)</f>
        <v>2</v>
      </c>
      <c r="L1108" s="8"/>
      <c r="M1108" s="8"/>
      <c r="N1108" s="8"/>
    </row>
    <row r="1109" spans="1:14" ht="15.4" customHeight="1" thickBot="1" x14ac:dyDescent="0.25">
      <c r="A1109" s="12" t="s">
        <v>2533</v>
      </c>
      <c r="B1109" s="6" t="s">
        <v>2534</v>
      </c>
      <c r="C1109" s="6" t="s">
        <v>2535</v>
      </c>
      <c r="D1109" s="60" t="s">
        <v>2536</v>
      </c>
      <c r="E1109" s="60"/>
      <c r="F1109" s="60"/>
      <c r="G1109" s="60"/>
      <c r="H1109" s="60"/>
      <c r="I1109" s="60"/>
      <c r="J1109" s="60"/>
      <c r="K1109" s="22">
        <f>SUM(K1112:K1112)</f>
        <v>2</v>
      </c>
      <c r="L1109" s="22">
        <f>ROUND(665.14*(1+M2/100),2)</f>
        <v>665.14</v>
      </c>
      <c r="M1109" s="22">
        <f>ROUND(K1109*L1109,2)</f>
        <v>1330.28</v>
      </c>
      <c r="N1109" s="8"/>
    </row>
    <row r="1110" spans="1:14" ht="21.6" customHeight="1" thickBot="1" x14ac:dyDescent="0.25">
      <c r="A1110" s="8"/>
      <c r="B1110" s="8"/>
      <c r="C1110" s="8"/>
      <c r="D1110" s="60" t="s">
        <v>2537</v>
      </c>
      <c r="E1110" s="60"/>
      <c r="F1110" s="60"/>
      <c r="G1110" s="60"/>
      <c r="H1110" s="60"/>
      <c r="I1110" s="60"/>
      <c r="J1110" s="60"/>
      <c r="K1110" s="60"/>
      <c r="L1110" s="60"/>
      <c r="M1110" s="60"/>
      <c r="N1110" s="8"/>
    </row>
    <row r="1111" spans="1:14" ht="15.4" customHeight="1" thickBot="1" x14ac:dyDescent="0.25">
      <c r="A1111" s="8"/>
      <c r="B1111" s="8"/>
      <c r="C1111" s="8"/>
      <c r="D1111" s="8"/>
      <c r="E1111" s="23"/>
      <c r="F1111" s="25" t="s">
        <v>2538</v>
      </c>
      <c r="G1111" s="25" t="s">
        <v>2539</v>
      </c>
      <c r="H1111" s="25" t="s">
        <v>2540</v>
      </c>
      <c r="I1111" s="25" t="s">
        <v>2541</v>
      </c>
      <c r="J1111" s="25" t="s">
        <v>2542</v>
      </c>
      <c r="K1111" s="25" t="s">
        <v>2543</v>
      </c>
      <c r="L1111" s="8"/>
      <c r="M1111" s="8"/>
      <c r="N1111" s="8"/>
    </row>
    <row r="1112" spans="1:14" ht="15.4" customHeight="1" thickBot="1" x14ac:dyDescent="0.25">
      <c r="A1112" s="8"/>
      <c r="B1112" s="8"/>
      <c r="C1112" s="8"/>
      <c r="D1112" s="26"/>
      <c r="E1112" s="27"/>
      <c r="F1112" s="28">
        <v>2</v>
      </c>
      <c r="G1112" s="29"/>
      <c r="H1112" s="29"/>
      <c r="I1112" s="29"/>
      <c r="J1112" s="31">
        <f>ROUND(F1112,2)</f>
        <v>2</v>
      </c>
      <c r="K1112" s="33">
        <f>SUM(J1112:J1112)</f>
        <v>2</v>
      </c>
      <c r="L1112" s="8"/>
      <c r="M1112" s="8"/>
      <c r="N1112" s="8"/>
    </row>
    <row r="1113" spans="1:14" ht="15.4" customHeight="1" thickBot="1" x14ac:dyDescent="0.25">
      <c r="A1113" s="12" t="s">
        <v>2544</v>
      </c>
      <c r="B1113" s="6" t="s">
        <v>2545</v>
      </c>
      <c r="C1113" s="6" t="s">
        <v>2546</v>
      </c>
      <c r="D1113" s="60" t="s">
        <v>2547</v>
      </c>
      <c r="E1113" s="60"/>
      <c r="F1113" s="60"/>
      <c r="G1113" s="60"/>
      <c r="H1113" s="60"/>
      <c r="I1113" s="60"/>
      <c r="J1113" s="60"/>
      <c r="K1113" s="22">
        <f>SUM(K1116:K1116)</f>
        <v>10</v>
      </c>
      <c r="L1113" s="22">
        <f>ROUND(51.52*(1+M2/100),2)</f>
        <v>51.52</v>
      </c>
      <c r="M1113" s="22">
        <f>ROUND(K1113*L1113,2)</f>
        <v>515.20000000000005</v>
      </c>
      <c r="N1113" s="8"/>
    </row>
    <row r="1114" spans="1:14" ht="40.35" customHeight="1" thickBot="1" x14ac:dyDescent="0.25">
      <c r="A1114" s="8"/>
      <c r="B1114" s="8"/>
      <c r="C1114" s="8"/>
      <c r="D1114" s="60" t="s">
        <v>2548</v>
      </c>
      <c r="E1114" s="60"/>
      <c r="F1114" s="60"/>
      <c r="G1114" s="60"/>
      <c r="H1114" s="60"/>
      <c r="I1114" s="60"/>
      <c r="J1114" s="60"/>
      <c r="K1114" s="60"/>
      <c r="L1114" s="60"/>
      <c r="M1114" s="60"/>
      <c r="N1114" s="8"/>
    </row>
    <row r="1115" spans="1:14" ht="15.4" customHeight="1" thickBot="1" x14ac:dyDescent="0.25">
      <c r="A1115" s="8"/>
      <c r="B1115" s="8"/>
      <c r="C1115" s="8"/>
      <c r="D1115" s="8"/>
      <c r="E1115" s="23"/>
      <c r="F1115" s="25" t="s">
        <v>2549</v>
      </c>
      <c r="G1115" s="25" t="s">
        <v>2550</v>
      </c>
      <c r="H1115" s="25" t="s">
        <v>2551</v>
      </c>
      <c r="I1115" s="25" t="s">
        <v>2552</v>
      </c>
      <c r="J1115" s="25" t="s">
        <v>2553</v>
      </c>
      <c r="K1115" s="25" t="s">
        <v>2554</v>
      </c>
      <c r="L1115" s="8"/>
      <c r="M1115" s="8"/>
      <c r="N1115" s="8"/>
    </row>
    <row r="1116" spans="1:14" ht="15.4" customHeight="1" thickBot="1" x14ac:dyDescent="0.25">
      <c r="A1116" s="8"/>
      <c r="B1116" s="8"/>
      <c r="C1116" s="8"/>
      <c r="D1116" s="26"/>
      <c r="E1116" s="27"/>
      <c r="F1116" s="28">
        <v>1</v>
      </c>
      <c r="G1116" s="29">
        <v>10</v>
      </c>
      <c r="H1116" s="29"/>
      <c r="I1116" s="29"/>
      <c r="J1116" s="31">
        <f>ROUND(F1116*G1116,2)</f>
        <v>10</v>
      </c>
      <c r="K1116" s="33">
        <f>SUM(J1116:J1116)</f>
        <v>10</v>
      </c>
      <c r="L1116" s="8"/>
      <c r="M1116" s="8"/>
      <c r="N1116" s="8"/>
    </row>
    <row r="1117" spans="1:14" ht="15.4" customHeight="1" thickBot="1" x14ac:dyDescent="0.25">
      <c r="A1117" s="12" t="s">
        <v>2555</v>
      </c>
      <c r="B1117" s="6" t="s">
        <v>2556</v>
      </c>
      <c r="C1117" s="6" t="s">
        <v>2557</v>
      </c>
      <c r="D1117" s="60" t="s">
        <v>2558</v>
      </c>
      <c r="E1117" s="60"/>
      <c r="F1117" s="60"/>
      <c r="G1117" s="60"/>
      <c r="H1117" s="60"/>
      <c r="I1117" s="60"/>
      <c r="J1117" s="60"/>
      <c r="K1117" s="22">
        <f>SUM(K1120:K1120)</f>
        <v>50</v>
      </c>
      <c r="L1117" s="22">
        <f>ROUND(35.81*(1+M2/100),2)</f>
        <v>35.81</v>
      </c>
      <c r="M1117" s="22">
        <f>ROUND(K1117*L1117,2)</f>
        <v>1790.5</v>
      </c>
      <c r="N1117" s="8"/>
    </row>
    <row r="1118" spans="1:14" ht="40.35" customHeight="1" thickBot="1" x14ac:dyDescent="0.25">
      <c r="A1118" s="8"/>
      <c r="B1118" s="8"/>
      <c r="C1118" s="8"/>
      <c r="D1118" s="60" t="s">
        <v>2559</v>
      </c>
      <c r="E1118" s="60"/>
      <c r="F1118" s="60"/>
      <c r="G1118" s="60"/>
      <c r="H1118" s="60"/>
      <c r="I1118" s="60"/>
      <c r="J1118" s="60"/>
      <c r="K1118" s="60"/>
      <c r="L1118" s="60"/>
      <c r="M1118" s="60"/>
      <c r="N1118" s="8"/>
    </row>
    <row r="1119" spans="1:14" ht="15.4" customHeight="1" thickBot="1" x14ac:dyDescent="0.25">
      <c r="A1119" s="8"/>
      <c r="B1119" s="8"/>
      <c r="C1119" s="8"/>
      <c r="D1119" s="8"/>
      <c r="E1119" s="23"/>
      <c r="F1119" s="25" t="s">
        <v>2560</v>
      </c>
      <c r="G1119" s="25" t="s">
        <v>2561</v>
      </c>
      <c r="H1119" s="25" t="s">
        <v>2562</v>
      </c>
      <c r="I1119" s="25" t="s">
        <v>2563</v>
      </c>
      <c r="J1119" s="25" t="s">
        <v>2564</v>
      </c>
      <c r="K1119" s="25" t="s">
        <v>2565</v>
      </c>
      <c r="L1119" s="8"/>
      <c r="M1119" s="8"/>
      <c r="N1119" s="8"/>
    </row>
    <row r="1120" spans="1:14" ht="15.4" customHeight="1" thickBot="1" x14ac:dyDescent="0.25">
      <c r="A1120" s="8"/>
      <c r="B1120" s="8"/>
      <c r="C1120" s="8"/>
      <c r="D1120" s="26"/>
      <c r="E1120" s="27"/>
      <c r="F1120" s="28">
        <v>1</v>
      </c>
      <c r="G1120" s="29">
        <v>50</v>
      </c>
      <c r="H1120" s="29"/>
      <c r="I1120" s="29"/>
      <c r="J1120" s="31">
        <f>ROUND(F1120*G1120,2)</f>
        <v>50</v>
      </c>
      <c r="K1120" s="33">
        <f>SUM(J1120:J1120)</f>
        <v>50</v>
      </c>
      <c r="L1120" s="8"/>
      <c r="M1120" s="8"/>
      <c r="N1120" s="8"/>
    </row>
    <row r="1121" spans="1:14" ht="15.4" customHeight="1" thickBot="1" x14ac:dyDescent="0.25">
      <c r="A1121" s="12" t="s">
        <v>2566</v>
      </c>
      <c r="B1121" s="6" t="s">
        <v>2567</v>
      </c>
      <c r="C1121" s="6" t="s">
        <v>2568</v>
      </c>
      <c r="D1121" s="60" t="s">
        <v>2569</v>
      </c>
      <c r="E1121" s="60"/>
      <c r="F1121" s="60"/>
      <c r="G1121" s="60"/>
      <c r="H1121" s="60"/>
      <c r="I1121" s="60"/>
      <c r="J1121" s="60"/>
      <c r="K1121" s="22">
        <f>SUM(K1124:K1124)</f>
        <v>15</v>
      </c>
      <c r="L1121" s="22">
        <f>ROUND(24.36*(1+M2/100),2)</f>
        <v>24.36</v>
      </c>
      <c r="M1121" s="22">
        <f>ROUND(K1121*L1121,2)</f>
        <v>365.4</v>
      </c>
      <c r="N1121" s="8"/>
    </row>
    <row r="1122" spans="1:14" ht="40.35" customHeight="1" thickBot="1" x14ac:dyDescent="0.25">
      <c r="A1122" s="8"/>
      <c r="B1122" s="8"/>
      <c r="C1122" s="8"/>
      <c r="D1122" s="60" t="s">
        <v>2570</v>
      </c>
      <c r="E1122" s="60"/>
      <c r="F1122" s="60"/>
      <c r="G1122" s="60"/>
      <c r="H1122" s="60"/>
      <c r="I1122" s="60"/>
      <c r="J1122" s="60"/>
      <c r="K1122" s="60"/>
      <c r="L1122" s="60"/>
      <c r="M1122" s="60"/>
      <c r="N1122" s="8"/>
    </row>
    <row r="1123" spans="1:14" ht="15.4" customHeight="1" thickBot="1" x14ac:dyDescent="0.25">
      <c r="A1123" s="8"/>
      <c r="B1123" s="8"/>
      <c r="C1123" s="8"/>
      <c r="D1123" s="8"/>
      <c r="E1123" s="23"/>
      <c r="F1123" s="25" t="s">
        <v>2571</v>
      </c>
      <c r="G1123" s="25" t="s">
        <v>2572</v>
      </c>
      <c r="H1123" s="25" t="s">
        <v>2573</v>
      </c>
      <c r="I1123" s="25" t="s">
        <v>2574</v>
      </c>
      <c r="J1123" s="25" t="s">
        <v>2575</v>
      </c>
      <c r="K1123" s="25" t="s">
        <v>2576</v>
      </c>
      <c r="L1123" s="8"/>
      <c r="M1123" s="8"/>
      <c r="N1123" s="8"/>
    </row>
    <row r="1124" spans="1:14" ht="15.4" customHeight="1" thickBot="1" x14ac:dyDescent="0.25">
      <c r="A1124" s="8"/>
      <c r="B1124" s="8"/>
      <c r="C1124" s="8"/>
      <c r="D1124" s="26"/>
      <c r="E1124" s="27"/>
      <c r="F1124" s="28">
        <v>1</v>
      </c>
      <c r="G1124" s="29">
        <v>15</v>
      </c>
      <c r="H1124" s="29"/>
      <c r="I1124" s="29"/>
      <c r="J1124" s="31">
        <f>ROUND(F1124*G1124,2)</f>
        <v>15</v>
      </c>
      <c r="K1124" s="33">
        <f>SUM(J1124:J1124)</f>
        <v>15</v>
      </c>
      <c r="L1124" s="8"/>
      <c r="M1124" s="8"/>
      <c r="N1124" s="8"/>
    </row>
    <row r="1125" spans="1:14" ht="15.4" customHeight="1" thickBot="1" x14ac:dyDescent="0.25">
      <c r="A1125" s="12" t="s">
        <v>2577</v>
      </c>
      <c r="B1125" s="6" t="s">
        <v>2578</v>
      </c>
      <c r="C1125" s="6" t="s">
        <v>2579</v>
      </c>
      <c r="D1125" s="60" t="s">
        <v>2580</v>
      </c>
      <c r="E1125" s="60"/>
      <c r="F1125" s="60"/>
      <c r="G1125" s="60"/>
      <c r="H1125" s="60"/>
      <c r="I1125" s="60"/>
      <c r="J1125" s="60"/>
      <c r="K1125" s="22">
        <f>SUM(K1128:K1128)</f>
        <v>35</v>
      </c>
      <c r="L1125" s="22">
        <f>ROUND(15.28*(1+M2/100),2)</f>
        <v>15.28</v>
      </c>
      <c r="M1125" s="22">
        <f>ROUND(K1125*L1125,2)</f>
        <v>534.79999999999995</v>
      </c>
      <c r="N1125" s="8"/>
    </row>
    <row r="1126" spans="1:14" ht="40.35" customHeight="1" thickBot="1" x14ac:dyDescent="0.25">
      <c r="A1126" s="8"/>
      <c r="B1126" s="8"/>
      <c r="C1126" s="8"/>
      <c r="D1126" s="60" t="s">
        <v>2581</v>
      </c>
      <c r="E1126" s="60"/>
      <c r="F1126" s="60"/>
      <c r="G1126" s="60"/>
      <c r="H1126" s="60"/>
      <c r="I1126" s="60"/>
      <c r="J1126" s="60"/>
      <c r="K1126" s="60"/>
      <c r="L1126" s="60"/>
      <c r="M1126" s="60"/>
      <c r="N1126" s="8"/>
    </row>
    <row r="1127" spans="1:14" ht="15.4" customHeight="1" thickBot="1" x14ac:dyDescent="0.25">
      <c r="A1127" s="8"/>
      <c r="B1127" s="8"/>
      <c r="C1127" s="8"/>
      <c r="D1127" s="8"/>
      <c r="E1127" s="23"/>
      <c r="F1127" s="25" t="s">
        <v>2582</v>
      </c>
      <c r="G1127" s="25" t="s">
        <v>2583</v>
      </c>
      <c r="H1127" s="25" t="s">
        <v>2584</v>
      </c>
      <c r="I1127" s="25" t="s">
        <v>2585</v>
      </c>
      <c r="J1127" s="25" t="s">
        <v>2586</v>
      </c>
      <c r="K1127" s="25" t="s">
        <v>2587</v>
      </c>
      <c r="L1127" s="8"/>
      <c r="M1127" s="8"/>
      <c r="N1127" s="8"/>
    </row>
    <row r="1128" spans="1:14" ht="15.4" customHeight="1" thickBot="1" x14ac:dyDescent="0.25">
      <c r="A1128" s="8"/>
      <c r="B1128" s="8"/>
      <c r="C1128" s="8"/>
      <c r="D1128" s="26"/>
      <c r="E1128" s="27"/>
      <c r="F1128" s="28">
        <v>1</v>
      </c>
      <c r="G1128" s="29">
        <v>35</v>
      </c>
      <c r="H1128" s="29"/>
      <c r="I1128" s="29"/>
      <c r="J1128" s="31">
        <f>ROUND(F1128*G1128,2)</f>
        <v>35</v>
      </c>
      <c r="K1128" s="33">
        <f>SUM(J1128:J1128)</f>
        <v>35</v>
      </c>
      <c r="L1128" s="8"/>
      <c r="M1128" s="8"/>
      <c r="N1128" s="8"/>
    </row>
    <row r="1129" spans="1:14" ht="15.4" customHeight="1" thickBot="1" x14ac:dyDescent="0.25">
      <c r="A1129" s="12" t="s">
        <v>2588</v>
      </c>
      <c r="B1129" s="6" t="s">
        <v>2589</v>
      </c>
      <c r="C1129" s="6" t="s">
        <v>2590</v>
      </c>
      <c r="D1129" s="60" t="s">
        <v>2591</v>
      </c>
      <c r="E1129" s="60"/>
      <c r="F1129" s="60"/>
      <c r="G1129" s="60"/>
      <c r="H1129" s="60"/>
      <c r="I1129" s="60"/>
      <c r="J1129" s="60"/>
      <c r="K1129" s="22">
        <f>SUM(K1132:K1132)</f>
        <v>35</v>
      </c>
      <c r="L1129" s="22">
        <f>ROUND(12.88*(1+M2/100),2)</f>
        <v>12.88</v>
      </c>
      <c r="M1129" s="22">
        <f>ROUND(K1129*L1129,2)</f>
        <v>450.8</v>
      </c>
      <c r="N1129" s="8"/>
    </row>
    <row r="1130" spans="1:14" ht="40.35" customHeight="1" thickBot="1" x14ac:dyDescent="0.25">
      <c r="A1130" s="8"/>
      <c r="B1130" s="8"/>
      <c r="C1130" s="8"/>
      <c r="D1130" s="60" t="s">
        <v>2592</v>
      </c>
      <c r="E1130" s="60"/>
      <c r="F1130" s="60"/>
      <c r="G1130" s="60"/>
      <c r="H1130" s="60"/>
      <c r="I1130" s="60"/>
      <c r="J1130" s="60"/>
      <c r="K1130" s="60"/>
      <c r="L1130" s="60"/>
      <c r="M1130" s="60"/>
      <c r="N1130" s="8"/>
    </row>
    <row r="1131" spans="1:14" ht="15.4" customHeight="1" thickBot="1" x14ac:dyDescent="0.25">
      <c r="A1131" s="8"/>
      <c r="B1131" s="8"/>
      <c r="C1131" s="8"/>
      <c r="D1131" s="8"/>
      <c r="E1131" s="23"/>
      <c r="F1131" s="25" t="s">
        <v>2593</v>
      </c>
      <c r="G1131" s="25" t="s">
        <v>2594</v>
      </c>
      <c r="H1131" s="25" t="s">
        <v>2595</v>
      </c>
      <c r="I1131" s="25" t="s">
        <v>2596</v>
      </c>
      <c r="J1131" s="25" t="s">
        <v>2597</v>
      </c>
      <c r="K1131" s="25" t="s">
        <v>2598</v>
      </c>
      <c r="L1131" s="8"/>
      <c r="M1131" s="8"/>
      <c r="N1131" s="8"/>
    </row>
    <row r="1132" spans="1:14" ht="15.4" customHeight="1" thickBot="1" x14ac:dyDescent="0.25">
      <c r="A1132" s="8"/>
      <c r="B1132" s="8"/>
      <c r="C1132" s="8"/>
      <c r="D1132" s="26"/>
      <c r="E1132" s="27"/>
      <c r="F1132" s="28">
        <v>1</v>
      </c>
      <c r="G1132" s="29">
        <v>35</v>
      </c>
      <c r="H1132" s="29"/>
      <c r="I1132" s="29"/>
      <c r="J1132" s="31">
        <f>ROUND(F1132*G1132,2)</f>
        <v>35</v>
      </c>
      <c r="K1132" s="33">
        <f>SUM(J1132:J1132)</f>
        <v>35</v>
      </c>
      <c r="L1132" s="8"/>
      <c r="M1132" s="8"/>
      <c r="N1132" s="8"/>
    </row>
    <row r="1133" spans="1:14" ht="15.4" customHeight="1" thickBot="1" x14ac:dyDescent="0.25">
      <c r="A1133" s="12" t="s">
        <v>2599</v>
      </c>
      <c r="B1133" s="6" t="s">
        <v>2600</v>
      </c>
      <c r="C1133" s="6" t="s">
        <v>2601</v>
      </c>
      <c r="D1133" s="60" t="s">
        <v>2602</v>
      </c>
      <c r="E1133" s="60"/>
      <c r="F1133" s="60"/>
      <c r="G1133" s="60"/>
      <c r="H1133" s="60"/>
      <c r="I1133" s="60"/>
      <c r="J1133" s="60"/>
      <c r="K1133" s="22">
        <f>SUM(K1136:K1136)</f>
        <v>45</v>
      </c>
      <c r="L1133" s="22">
        <f>ROUND(12.33*(1+M2/100),2)</f>
        <v>12.33</v>
      </c>
      <c r="M1133" s="22">
        <f>ROUND(K1133*L1133,2)</f>
        <v>554.85</v>
      </c>
      <c r="N1133" s="8"/>
    </row>
    <row r="1134" spans="1:14" ht="40.35" customHeight="1" thickBot="1" x14ac:dyDescent="0.25">
      <c r="A1134" s="8"/>
      <c r="B1134" s="8"/>
      <c r="C1134" s="8"/>
      <c r="D1134" s="60" t="s">
        <v>2603</v>
      </c>
      <c r="E1134" s="60"/>
      <c r="F1134" s="60"/>
      <c r="G1134" s="60"/>
      <c r="H1134" s="60"/>
      <c r="I1134" s="60"/>
      <c r="J1134" s="60"/>
      <c r="K1134" s="60"/>
      <c r="L1134" s="60"/>
      <c r="M1134" s="60"/>
      <c r="N1134" s="8"/>
    </row>
    <row r="1135" spans="1:14" ht="15.4" customHeight="1" thickBot="1" x14ac:dyDescent="0.25">
      <c r="A1135" s="8"/>
      <c r="B1135" s="8"/>
      <c r="C1135" s="8"/>
      <c r="D1135" s="8"/>
      <c r="E1135" s="23"/>
      <c r="F1135" s="25" t="s">
        <v>2604</v>
      </c>
      <c r="G1135" s="25" t="s">
        <v>2605</v>
      </c>
      <c r="H1135" s="25" t="s">
        <v>2606</v>
      </c>
      <c r="I1135" s="25" t="s">
        <v>2607</v>
      </c>
      <c r="J1135" s="25" t="s">
        <v>2608</v>
      </c>
      <c r="K1135" s="25" t="s">
        <v>2609</v>
      </c>
      <c r="L1135" s="8"/>
      <c r="M1135" s="8"/>
      <c r="N1135" s="8"/>
    </row>
    <row r="1136" spans="1:14" ht="15.4" customHeight="1" thickBot="1" x14ac:dyDescent="0.25">
      <c r="A1136" s="8"/>
      <c r="B1136" s="8"/>
      <c r="C1136" s="8"/>
      <c r="D1136" s="26"/>
      <c r="E1136" s="27"/>
      <c r="F1136" s="28">
        <v>1</v>
      </c>
      <c r="G1136" s="29">
        <v>45</v>
      </c>
      <c r="H1136" s="29"/>
      <c r="I1136" s="29"/>
      <c r="J1136" s="31">
        <f>ROUND(F1136*G1136,2)</f>
        <v>45</v>
      </c>
      <c r="K1136" s="33">
        <f>SUM(J1136:J1136)</f>
        <v>45</v>
      </c>
      <c r="L1136" s="8"/>
      <c r="M1136" s="8"/>
      <c r="N1136" s="8"/>
    </row>
    <row r="1137" spans="1:14" ht="15.4" customHeight="1" thickBot="1" x14ac:dyDescent="0.25">
      <c r="A1137" s="12" t="s">
        <v>2610</v>
      </c>
      <c r="B1137" s="6" t="s">
        <v>2611</v>
      </c>
      <c r="C1137" s="6" t="s">
        <v>2612</v>
      </c>
      <c r="D1137" s="60" t="s">
        <v>2613</v>
      </c>
      <c r="E1137" s="60"/>
      <c r="F1137" s="60"/>
      <c r="G1137" s="60"/>
      <c r="H1137" s="60"/>
      <c r="I1137" s="60"/>
      <c r="J1137" s="60"/>
      <c r="K1137" s="22">
        <f>SUM(K1140:K1140)</f>
        <v>10</v>
      </c>
      <c r="L1137" s="22">
        <f>ROUND(11.12*(1+M2/100),2)</f>
        <v>11.12</v>
      </c>
      <c r="M1137" s="22">
        <f>ROUND(K1137*L1137,2)</f>
        <v>111.2</v>
      </c>
      <c r="N1137" s="8"/>
    </row>
    <row r="1138" spans="1:14" ht="40.35" customHeight="1" thickBot="1" x14ac:dyDescent="0.25">
      <c r="A1138" s="8"/>
      <c r="B1138" s="8"/>
      <c r="C1138" s="8"/>
      <c r="D1138" s="60" t="s">
        <v>2614</v>
      </c>
      <c r="E1138" s="60"/>
      <c r="F1138" s="60"/>
      <c r="G1138" s="60"/>
      <c r="H1138" s="60"/>
      <c r="I1138" s="60"/>
      <c r="J1138" s="60"/>
      <c r="K1138" s="60"/>
      <c r="L1138" s="60"/>
      <c r="M1138" s="60"/>
      <c r="N1138" s="8"/>
    </row>
    <row r="1139" spans="1:14" ht="15.4" customHeight="1" thickBot="1" x14ac:dyDescent="0.25">
      <c r="A1139" s="8"/>
      <c r="B1139" s="8"/>
      <c r="C1139" s="8"/>
      <c r="D1139" s="8"/>
      <c r="E1139" s="23"/>
      <c r="F1139" s="25" t="s">
        <v>2615</v>
      </c>
      <c r="G1139" s="25" t="s">
        <v>2616</v>
      </c>
      <c r="H1139" s="25" t="s">
        <v>2617</v>
      </c>
      <c r="I1139" s="25" t="s">
        <v>2618</v>
      </c>
      <c r="J1139" s="25" t="s">
        <v>2619</v>
      </c>
      <c r="K1139" s="25" t="s">
        <v>2620</v>
      </c>
      <c r="L1139" s="8"/>
      <c r="M1139" s="8"/>
      <c r="N1139" s="8"/>
    </row>
    <row r="1140" spans="1:14" ht="15.4" customHeight="1" thickBot="1" x14ac:dyDescent="0.25">
      <c r="A1140" s="8"/>
      <c r="B1140" s="8"/>
      <c r="C1140" s="8"/>
      <c r="D1140" s="26"/>
      <c r="E1140" s="27"/>
      <c r="F1140" s="28">
        <v>1</v>
      </c>
      <c r="G1140" s="29">
        <v>10</v>
      </c>
      <c r="H1140" s="29"/>
      <c r="I1140" s="29"/>
      <c r="J1140" s="31">
        <f>ROUND(F1140*G1140,2)</f>
        <v>10</v>
      </c>
      <c r="K1140" s="33">
        <f>SUM(J1140:J1140)</f>
        <v>10</v>
      </c>
      <c r="L1140" s="8"/>
      <c r="M1140" s="8"/>
      <c r="N1140" s="8"/>
    </row>
    <row r="1141" spans="1:14" ht="15.4" customHeight="1" thickBot="1" x14ac:dyDescent="0.25">
      <c r="A1141" s="12" t="s">
        <v>2621</v>
      </c>
      <c r="B1141" s="6" t="s">
        <v>2622</v>
      </c>
      <c r="C1141" s="6" t="s">
        <v>2623</v>
      </c>
      <c r="D1141" s="60" t="s">
        <v>2624</v>
      </c>
      <c r="E1141" s="60"/>
      <c r="F1141" s="60"/>
      <c r="G1141" s="60"/>
      <c r="H1141" s="60"/>
      <c r="I1141" s="60"/>
      <c r="J1141" s="60"/>
      <c r="K1141" s="22">
        <f>SUM(K1144:K1144)</f>
        <v>65</v>
      </c>
      <c r="L1141" s="22">
        <f>ROUND(9.49*(1+M2/100),2)</f>
        <v>9.49</v>
      </c>
      <c r="M1141" s="22">
        <f>ROUND(K1141*L1141,2)</f>
        <v>616.85</v>
      </c>
      <c r="N1141" s="8"/>
    </row>
    <row r="1142" spans="1:14" ht="30.95" customHeight="1" thickBot="1" x14ac:dyDescent="0.25">
      <c r="A1142" s="8"/>
      <c r="B1142" s="8"/>
      <c r="C1142" s="8"/>
      <c r="D1142" s="60" t="s">
        <v>2625</v>
      </c>
      <c r="E1142" s="60"/>
      <c r="F1142" s="60"/>
      <c r="G1142" s="60"/>
      <c r="H1142" s="60"/>
      <c r="I1142" s="60"/>
      <c r="J1142" s="60"/>
      <c r="K1142" s="60"/>
      <c r="L1142" s="60"/>
      <c r="M1142" s="60"/>
      <c r="N1142" s="8"/>
    </row>
    <row r="1143" spans="1:14" ht="15.4" customHeight="1" thickBot="1" x14ac:dyDescent="0.25">
      <c r="A1143" s="8"/>
      <c r="B1143" s="8"/>
      <c r="C1143" s="8"/>
      <c r="D1143" s="8"/>
      <c r="E1143" s="23"/>
      <c r="F1143" s="25" t="s">
        <v>2626</v>
      </c>
      <c r="G1143" s="25" t="s">
        <v>2627</v>
      </c>
      <c r="H1143" s="25" t="s">
        <v>2628</v>
      </c>
      <c r="I1143" s="25" t="s">
        <v>2629</v>
      </c>
      <c r="J1143" s="25" t="s">
        <v>2630</v>
      </c>
      <c r="K1143" s="25" t="s">
        <v>2631</v>
      </c>
      <c r="L1143" s="8"/>
      <c r="M1143" s="8"/>
      <c r="N1143" s="8"/>
    </row>
    <row r="1144" spans="1:14" ht="15.4" customHeight="1" thickBot="1" x14ac:dyDescent="0.25">
      <c r="A1144" s="8"/>
      <c r="B1144" s="8"/>
      <c r="C1144" s="8"/>
      <c r="D1144" s="26"/>
      <c r="E1144" s="27"/>
      <c r="F1144" s="28">
        <v>1</v>
      </c>
      <c r="G1144" s="29">
        <v>65</v>
      </c>
      <c r="H1144" s="29"/>
      <c r="I1144" s="29"/>
      <c r="J1144" s="31">
        <f>ROUND(F1144*G1144,2)</f>
        <v>65</v>
      </c>
      <c r="K1144" s="33">
        <f>SUM(J1144:J1144)</f>
        <v>65</v>
      </c>
      <c r="L1144" s="8"/>
      <c r="M1144" s="8"/>
      <c r="N1144" s="8"/>
    </row>
    <row r="1145" spans="1:14" ht="15.4" customHeight="1" thickBot="1" x14ac:dyDescent="0.25">
      <c r="A1145" s="12" t="s">
        <v>2632</v>
      </c>
      <c r="B1145" s="6" t="s">
        <v>2633</v>
      </c>
      <c r="C1145" s="6" t="s">
        <v>2634</v>
      </c>
      <c r="D1145" s="60" t="s">
        <v>2635</v>
      </c>
      <c r="E1145" s="60"/>
      <c r="F1145" s="60"/>
      <c r="G1145" s="60"/>
      <c r="H1145" s="60"/>
      <c r="I1145" s="60"/>
      <c r="J1145" s="60"/>
      <c r="K1145" s="22">
        <f>SUM(K1148:K1148)</f>
        <v>25</v>
      </c>
      <c r="L1145" s="22">
        <f>ROUND(7.68*(1+M2/100),2)</f>
        <v>7.68</v>
      </c>
      <c r="M1145" s="22">
        <f>ROUND(K1145*L1145,2)</f>
        <v>192</v>
      </c>
      <c r="N1145" s="8"/>
    </row>
    <row r="1146" spans="1:14" ht="30.95" customHeight="1" thickBot="1" x14ac:dyDescent="0.25">
      <c r="A1146" s="8"/>
      <c r="B1146" s="8"/>
      <c r="C1146" s="8"/>
      <c r="D1146" s="60" t="s">
        <v>2636</v>
      </c>
      <c r="E1146" s="60"/>
      <c r="F1146" s="60"/>
      <c r="G1146" s="60"/>
      <c r="H1146" s="60"/>
      <c r="I1146" s="60"/>
      <c r="J1146" s="60"/>
      <c r="K1146" s="60"/>
      <c r="L1146" s="60"/>
      <c r="M1146" s="60"/>
      <c r="N1146" s="8"/>
    </row>
    <row r="1147" spans="1:14" ht="15.4" customHeight="1" thickBot="1" x14ac:dyDescent="0.25">
      <c r="A1147" s="8"/>
      <c r="B1147" s="8"/>
      <c r="C1147" s="8"/>
      <c r="D1147" s="8"/>
      <c r="E1147" s="23"/>
      <c r="F1147" s="25" t="s">
        <v>2637</v>
      </c>
      <c r="G1147" s="25" t="s">
        <v>2638</v>
      </c>
      <c r="H1147" s="25" t="s">
        <v>2639</v>
      </c>
      <c r="I1147" s="25" t="s">
        <v>2640</v>
      </c>
      <c r="J1147" s="25" t="s">
        <v>2641</v>
      </c>
      <c r="K1147" s="25" t="s">
        <v>2642</v>
      </c>
      <c r="L1147" s="8"/>
      <c r="M1147" s="8"/>
      <c r="N1147" s="8"/>
    </row>
    <row r="1148" spans="1:14" ht="15.4" customHeight="1" thickBot="1" x14ac:dyDescent="0.25">
      <c r="A1148" s="8"/>
      <c r="B1148" s="8"/>
      <c r="C1148" s="8"/>
      <c r="D1148" s="26"/>
      <c r="E1148" s="27"/>
      <c r="F1148" s="28">
        <v>1</v>
      </c>
      <c r="G1148" s="29">
        <v>25</v>
      </c>
      <c r="H1148" s="29"/>
      <c r="I1148" s="29"/>
      <c r="J1148" s="31">
        <f>ROUND(F1148*G1148,2)</f>
        <v>25</v>
      </c>
      <c r="K1148" s="33">
        <f>SUM(J1148:J1148)</f>
        <v>25</v>
      </c>
      <c r="L1148" s="8"/>
      <c r="M1148" s="8"/>
      <c r="N1148" s="8"/>
    </row>
    <row r="1149" spans="1:14" ht="15.4" customHeight="1" thickBot="1" x14ac:dyDescent="0.25">
      <c r="A1149" s="12" t="s">
        <v>2643</v>
      </c>
      <c r="B1149" s="6" t="s">
        <v>2644</v>
      </c>
      <c r="C1149" s="6" t="s">
        <v>2645</v>
      </c>
      <c r="D1149" s="60" t="s">
        <v>2646</v>
      </c>
      <c r="E1149" s="60"/>
      <c r="F1149" s="60"/>
      <c r="G1149" s="60"/>
      <c r="H1149" s="60"/>
      <c r="I1149" s="60"/>
      <c r="J1149" s="60"/>
      <c r="K1149" s="22">
        <f>SUM(K1152:K1152)</f>
        <v>20</v>
      </c>
      <c r="L1149" s="22">
        <f>ROUND(6.36*(1+M2/100),2)</f>
        <v>6.36</v>
      </c>
      <c r="M1149" s="22">
        <f>ROUND(K1149*L1149,2)</f>
        <v>127.2</v>
      </c>
      <c r="N1149" s="8"/>
    </row>
    <row r="1150" spans="1:14" ht="30.95" customHeight="1" thickBot="1" x14ac:dyDescent="0.25">
      <c r="A1150" s="8"/>
      <c r="B1150" s="8"/>
      <c r="C1150" s="8"/>
      <c r="D1150" s="60" t="s">
        <v>2647</v>
      </c>
      <c r="E1150" s="60"/>
      <c r="F1150" s="60"/>
      <c r="G1150" s="60"/>
      <c r="H1150" s="60"/>
      <c r="I1150" s="60"/>
      <c r="J1150" s="60"/>
      <c r="K1150" s="60"/>
      <c r="L1150" s="60"/>
      <c r="M1150" s="60"/>
      <c r="N1150" s="8"/>
    </row>
    <row r="1151" spans="1:14" ht="15.4" customHeight="1" thickBot="1" x14ac:dyDescent="0.25">
      <c r="A1151" s="8"/>
      <c r="B1151" s="8"/>
      <c r="C1151" s="8"/>
      <c r="D1151" s="8"/>
      <c r="E1151" s="23"/>
      <c r="F1151" s="25" t="s">
        <v>2648</v>
      </c>
      <c r="G1151" s="25" t="s">
        <v>2649</v>
      </c>
      <c r="H1151" s="25" t="s">
        <v>2650</v>
      </c>
      <c r="I1151" s="25" t="s">
        <v>2651</v>
      </c>
      <c r="J1151" s="25" t="s">
        <v>2652</v>
      </c>
      <c r="K1151" s="25" t="s">
        <v>2653</v>
      </c>
      <c r="L1151" s="8"/>
      <c r="M1151" s="8"/>
      <c r="N1151" s="8"/>
    </row>
    <row r="1152" spans="1:14" ht="15.4" customHeight="1" thickBot="1" x14ac:dyDescent="0.25">
      <c r="A1152" s="8"/>
      <c r="B1152" s="8"/>
      <c r="C1152" s="8"/>
      <c r="D1152" s="26"/>
      <c r="E1152" s="27"/>
      <c r="F1152" s="28">
        <v>1</v>
      </c>
      <c r="G1152" s="29">
        <v>20</v>
      </c>
      <c r="H1152" s="29"/>
      <c r="I1152" s="29"/>
      <c r="J1152" s="31">
        <f>ROUND(F1152*G1152,2)</f>
        <v>20</v>
      </c>
      <c r="K1152" s="33">
        <f>SUM(J1152:J1152)</f>
        <v>20</v>
      </c>
      <c r="L1152" s="8"/>
      <c r="M1152" s="8"/>
      <c r="N1152" s="8"/>
    </row>
    <row r="1153" spans="1:14" ht="15.4" customHeight="1" thickBot="1" x14ac:dyDescent="0.25">
      <c r="A1153" s="12" t="s">
        <v>2654</v>
      </c>
      <c r="B1153" s="6" t="s">
        <v>2655</v>
      </c>
      <c r="C1153" s="6" t="s">
        <v>2656</v>
      </c>
      <c r="D1153" s="60" t="s">
        <v>2657</v>
      </c>
      <c r="E1153" s="60"/>
      <c r="F1153" s="60"/>
      <c r="G1153" s="60"/>
      <c r="H1153" s="60"/>
      <c r="I1153" s="60"/>
      <c r="J1153" s="60"/>
      <c r="K1153" s="22">
        <f>SUM(K1156:K1156)</f>
        <v>30</v>
      </c>
      <c r="L1153" s="22">
        <f>ROUND(5.22*(1+M2/100),2)</f>
        <v>5.22</v>
      </c>
      <c r="M1153" s="22">
        <f>ROUND(K1153*L1153,2)</f>
        <v>156.6</v>
      </c>
      <c r="N1153" s="8"/>
    </row>
    <row r="1154" spans="1:14" ht="30.95" customHeight="1" thickBot="1" x14ac:dyDescent="0.25">
      <c r="A1154" s="8"/>
      <c r="B1154" s="8"/>
      <c r="C1154" s="8"/>
      <c r="D1154" s="60" t="s">
        <v>2658</v>
      </c>
      <c r="E1154" s="60"/>
      <c r="F1154" s="60"/>
      <c r="G1154" s="60"/>
      <c r="H1154" s="60"/>
      <c r="I1154" s="60"/>
      <c r="J1154" s="60"/>
      <c r="K1154" s="60"/>
      <c r="L1154" s="60"/>
      <c r="M1154" s="60"/>
      <c r="N1154" s="8"/>
    </row>
    <row r="1155" spans="1:14" ht="15.4" customHeight="1" thickBot="1" x14ac:dyDescent="0.25">
      <c r="A1155" s="8"/>
      <c r="B1155" s="8"/>
      <c r="C1155" s="8"/>
      <c r="D1155" s="8"/>
      <c r="E1155" s="23"/>
      <c r="F1155" s="25" t="s">
        <v>2659</v>
      </c>
      <c r="G1155" s="25" t="s">
        <v>2660</v>
      </c>
      <c r="H1155" s="25" t="s">
        <v>2661</v>
      </c>
      <c r="I1155" s="25" t="s">
        <v>2662</v>
      </c>
      <c r="J1155" s="25" t="s">
        <v>2663</v>
      </c>
      <c r="K1155" s="25" t="s">
        <v>2664</v>
      </c>
      <c r="L1155" s="8"/>
      <c r="M1155" s="8"/>
      <c r="N1155" s="8"/>
    </row>
    <row r="1156" spans="1:14" ht="15.4" customHeight="1" thickBot="1" x14ac:dyDescent="0.25">
      <c r="A1156" s="8"/>
      <c r="B1156" s="8"/>
      <c r="C1156" s="8"/>
      <c r="D1156" s="26"/>
      <c r="E1156" s="27"/>
      <c r="F1156" s="28">
        <v>1</v>
      </c>
      <c r="G1156" s="29">
        <v>30</v>
      </c>
      <c r="H1156" s="29"/>
      <c r="I1156" s="29"/>
      <c r="J1156" s="31">
        <f>ROUND(F1156*G1156,2)</f>
        <v>30</v>
      </c>
      <c r="K1156" s="33">
        <f>SUM(J1156:J1156)</f>
        <v>30</v>
      </c>
      <c r="L1156" s="8"/>
      <c r="M1156" s="8"/>
      <c r="N1156" s="8"/>
    </row>
    <row r="1157" spans="1:14" ht="15.4" customHeight="1" thickBot="1" x14ac:dyDescent="0.25">
      <c r="A1157" s="12" t="s">
        <v>2665</v>
      </c>
      <c r="B1157" s="6" t="s">
        <v>2666</v>
      </c>
      <c r="C1157" s="6" t="s">
        <v>2667</v>
      </c>
      <c r="D1157" s="60" t="s">
        <v>2668</v>
      </c>
      <c r="E1157" s="60"/>
      <c r="F1157" s="60"/>
      <c r="G1157" s="60"/>
      <c r="H1157" s="60"/>
      <c r="I1157" s="60"/>
      <c r="J1157" s="60"/>
      <c r="K1157" s="22">
        <f>SUM(K1160:K1160)</f>
        <v>45</v>
      </c>
      <c r="L1157" s="22">
        <f>ROUND(5.08*(1+M2/100),2)</f>
        <v>5.08</v>
      </c>
      <c r="M1157" s="22">
        <f>ROUND(K1157*L1157,2)</f>
        <v>228.6</v>
      </c>
      <c r="N1157" s="8"/>
    </row>
    <row r="1158" spans="1:14" ht="30.95" customHeight="1" thickBot="1" x14ac:dyDescent="0.25">
      <c r="A1158" s="8"/>
      <c r="B1158" s="8"/>
      <c r="C1158" s="8"/>
      <c r="D1158" s="60" t="s">
        <v>2669</v>
      </c>
      <c r="E1158" s="60"/>
      <c r="F1158" s="60"/>
      <c r="G1158" s="60"/>
      <c r="H1158" s="60"/>
      <c r="I1158" s="60"/>
      <c r="J1158" s="60"/>
      <c r="K1158" s="60"/>
      <c r="L1158" s="60"/>
      <c r="M1158" s="60"/>
      <c r="N1158" s="8"/>
    </row>
    <row r="1159" spans="1:14" ht="15.4" customHeight="1" thickBot="1" x14ac:dyDescent="0.25">
      <c r="A1159" s="8"/>
      <c r="B1159" s="8"/>
      <c r="C1159" s="8"/>
      <c r="D1159" s="8"/>
      <c r="E1159" s="23"/>
      <c r="F1159" s="25" t="s">
        <v>2670</v>
      </c>
      <c r="G1159" s="25" t="s">
        <v>2671</v>
      </c>
      <c r="H1159" s="25" t="s">
        <v>2672</v>
      </c>
      <c r="I1159" s="25" t="s">
        <v>2673</v>
      </c>
      <c r="J1159" s="25" t="s">
        <v>2674</v>
      </c>
      <c r="K1159" s="25" t="s">
        <v>2675</v>
      </c>
      <c r="L1159" s="8"/>
      <c r="M1159" s="8"/>
      <c r="N1159" s="8"/>
    </row>
    <row r="1160" spans="1:14" ht="15.4" customHeight="1" thickBot="1" x14ac:dyDescent="0.25">
      <c r="A1160" s="8"/>
      <c r="B1160" s="8"/>
      <c r="C1160" s="8"/>
      <c r="D1160" s="26"/>
      <c r="E1160" s="27"/>
      <c r="F1160" s="28">
        <v>1</v>
      </c>
      <c r="G1160" s="29">
        <v>45</v>
      </c>
      <c r="H1160" s="29"/>
      <c r="I1160" s="29"/>
      <c r="J1160" s="31">
        <f>ROUND(F1160*G1160,2)</f>
        <v>45</v>
      </c>
      <c r="K1160" s="33">
        <f>SUM(J1160:J1160)</f>
        <v>45</v>
      </c>
      <c r="L1160" s="8"/>
      <c r="M1160" s="8"/>
      <c r="N1160" s="8"/>
    </row>
    <row r="1161" spans="1:14" ht="15.4" customHeight="1" thickBot="1" x14ac:dyDescent="0.25">
      <c r="A1161" s="12" t="s">
        <v>2676</v>
      </c>
      <c r="B1161" s="6" t="s">
        <v>2677</v>
      </c>
      <c r="C1161" s="6" t="s">
        <v>2678</v>
      </c>
      <c r="D1161" s="60" t="s">
        <v>2679</v>
      </c>
      <c r="E1161" s="60"/>
      <c r="F1161" s="60"/>
      <c r="G1161" s="60"/>
      <c r="H1161" s="60"/>
      <c r="I1161" s="60"/>
      <c r="J1161" s="60"/>
      <c r="K1161" s="22">
        <f>SUM(K1164:K1164)</f>
        <v>1</v>
      </c>
      <c r="L1161" s="22">
        <f>ROUND(31.21*(1+M2/100),2)</f>
        <v>31.21</v>
      </c>
      <c r="M1161" s="22">
        <f>ROUND(K1161*L1161,2)</f>
        <v>31.21</v>
      </c>
      <c r="N1161" s="8"/>
    </row>
    <row r="1162" spans="1:14" ht="12.2" customHeight="1" thickBot="1" x14ac:dyDescent="0.25">
      <c r="A1162" s="8"/>
      <c r="B1162" s="8"/>
      <c r="C1162" s="8"/>
      <c r="D1162" s="60" t="s">
        <v>2680</v>
      </c>
      <c r="E1162" s="60"/>
      <c r="F1162" s="60"/>
      <c r="G1162" s="60"/>
      <c r="H1162" s="60"/>
      <c r="I1162" s="60"/>
      <c r="J1162" s="60"/>
      <c r="K1162" s="60"/>
      <c r="L1162" s="60"/>
      <c r="M1162" s="60"/>
      <c r="N1162" s="8"/>
    </row>
    <row r="1163" spans="1:14" ht="15.4" customHeight="1" thickBot="1" x14ac:dyDescent="0.25">
      <c r="A1163" s="8"/>
      <c r="B1163" s="8"/>
      <c r="C1163" s="8"/>
      <c r="D1163" s="8"/>
      <c r="E1163" s="23"/>
      <c r="F1163" s="25" t="s">
        <v>2681</v>
      </c>
      <c r="G1163" s="25" t="s">
        <v>2682</v>
      </c>
      <c r="H1163" s="25" t="s">
        <v>2683</v>
      </c>
      <c r="I1163" s="25" t="s">
        <v>2684</v>
      </c>
      <c r="J1163" s="25" t="s">
        <v>2685</v>
      </c>
      <c r="K1163" s="25" t="s">
        <v>2686</v>
      </c>
      <c r="L1163" s="8"/>
      <c r="M1163" s="8"/>
      <c r="N1163" s="8"/>
    </row>
    <row r="1164" spans="1:14" ht="15.4" customHeight="1" thickBot="1" x14ac:dyDescent="0.25">
      <c r="A1164" s="8"/>
      <c r="B1164" s="8"/>
      <c r="C1164" s="8"/>
      <c r="D1164" s="26"/>
      <c r="E1164" s="27"/>
      <c r="F1164" s="28">
        <v>1</v>
      </c>
      <c r="G1164" s="29"/>
      <c r="H1164" s="29"/>
      <c r="I1164" s="29"/>
      <c r="J1164" s="31">
        <f>ROUND(F1164,2)</f>
        <v>1</v>
      </c>
      <c r="K1164" s="33">
        <f>SUM(J1164:J1164)</f>
        <v>1</v>
      </c>
      <c r="L1164" s="8"/>
      <c r="M1164" s="8"/>
      <c r="N1164" s="8"/>
    </row>
    <row r="1165" spans="1:14" ht="15.4" customHeight="1" thickBot="1" x14ac:dyDescent="0.25">
      <c r="A1165" s="36"/>
      <c r="B1165" s="36"/>
      <c r="C1165" s="36"/>
      <c r="D1165" s="37" t="s">
        <v>2687</v>
      </c>
      <c r="E1165" s="38"/>
      <c r="F1165" s="38"/>
      <c r="G1165" s="38"/>
      <c r="H1165" s="38"/>
      <c r="I1165" s="38"/>
      <c r="J1165" s="38"/>
      <c r="K1165" s="38"/>
      <c r="L1165" s="39">
        <f>M1081+M1085+M1089+M1093+M1097+M1101+M1105+M1109+M1113+M1117+M1121+M1125+M1129+M1133+M1137+M1141+M1145+M1149+M1153+M1157+M1161</f>
        <v>14398.170000000002</v>
      </c>
      <c r="M1165" s="39">
        <f>ROUND(L1165,2)</f>
        <v>14398.17</v>
      </c>
      <c r="N1165" s="8"/>
    </row>
    <row r="1166" spans="1:14" ht="15.4" customHeight="1" thickBot="1" x14ac:dyDescent="0.25">
      <c r="A1166" s="40" t="s">
        <v>2688</v>
      </c>
      <c r="B1166" s="40" t="s">
        <v>2689</v>
      </c>
      <c r="C1166" s="41"/>
      <c r="D1166" s="61" t="s">
        <v>2690</v>
      </c>
      <c r="E1166" s="61"/>
      <c r="F1166" s="61"/>
      <c r="G1166" s="61"/>
      <c r="H1166" s="61"/>
      <c r="I1166" s="61"/>
      <c r="J1166" s="61"/>
      <c r="K1166" s="41"/>
      <c r="L1166" s="42">
        <f>L1195</f>
        <v>24988.34</v>
      </c>
      <c r="M1166" s="42">
        <f>ROUND(L1166,2)</f>
        <v>24988.34</v>
      </c>
      <c r="N1166" s="8"/>
    </row>
    <row r="1167" spans="1:14" ht="15.4" customHeight="1" thickBot="1" x14ac:dyDescent="0.25">
      <c r="A1167" s="12" t="s">
        <v>2691</v>
      </c>
      <c r="B1167" s="6" t="s">
        <v>2692</v>
      </c>
      <c r="C1167" s="6" t="s">
        <v>2693</v>
      </c>
      <c r="D1167" s="60" t="s">
        <v>2694</v>
      </c>
      <c r="E1167" s="60"/>
      <c r="F1167" s="60"/>
      <c r="G1167" s="60"/>
      <c r="H1167" s="60"/>
      <c r="I1167" s="60"/>
      <c r="J1167" s="60"/>
      <c r="K1167" s="22">
        <f>SUM(K1170:K1170)</f>
        <v>45</v>
      </c>
      <c r="L1167" s="22">
        <f>ROUND(22.43*(1+M2/100),2)</f>
        <v>22.43</v>
      </c>
      <c r="M1167" s="22">
        <f>ROUND(K1167*L1167,2)</f>
        <v>1009.35</v>
      </c>
      <c r="N1167" s="8"/>
    </row>
    <row r="1168" spans="1:14" ht="30.95" customHeight="1" thickBot="1" x14ac:dyDescent="0.25">
      <c r="A1168" s="8"/>
      <c r="B1168" s="8"/>
      <c r="C1168" s="8"/>
      <c r="D1168" s="60" t="s">
        <v>2695</v>
      </c>
      <c r="E1168" s="60"/>
      <c r="F1168" s="60"/>
      <c r="G1168" s="60"/>
      <c r="H1168" s="60"/>
      <c r="I1168" s="60"/>
      <c r="J1168" s="60"/>
      <c r="K1168" s="60"/>
      <c r="L1168" s="60"/>
      <c r="M1168" s="60"/>
      <c r="N1168" s="8"/>
    </row>
    <row r="1169" spans="1:14" ht="15.4" customHeight="1" thickBot="1" x14ac:dyDescent="0.25">
      <c r="A1169" s="8"/>
      <c r="B1169" s="8"/>
      <c r="C1169" s="8"/>
      <c r="D1169" s="8"/>
      <c r="E1169" s="23"/>
      <c r="F1169" s="25" t="s">
        <v>2696</v>
      </c>
      <c r="G1169" s="25" t="s">
        <v>2697</v>
      </c>
      <c r="H1169" s="25" t="s">
        <v>2698</v>
      </c>
      <c r="I1169" s="25" t="s">
        <v>2699</v>
      </c>
      <c r="J1169" s="25" t="s">
        <v>2700</v>
      </c>
      <c r="K1169" s="25" t="s">
        <v>2701</v>
      </c>
      <c r="L1169" s="8"/>
      <c r="M1169" s="8"/>
      <c r="N1169" s="8"/>
    </row>
    <row r="1170" spans="1:14" ht="15.4" customHeight="1" thickBot="1" x14ac:dyDescent="0.25">
      <c r="A1170" s="8"/>
      <c r="B1170" s="8"/>
      <c r="C1170" s="8"/>
      <c r="D1170" s="26"/>
      <c r="E1170" s="27"/>
      <c r="F1170" s="28">
        <v>1</v>
      </c>
      <c r="G1170" s="29">
        <v>45</v>
      </c>
      <c r="H1170" s="29"/>
      <c r="I1170" s="29"/>
      <c r="J1170" s="31">
        <f>ROUND(F1170*G1170,2)</f>
        <v>45</v>
      </c>
      <c r="K1170" s="33">
        <f>SUM(J1170:J1170)</f>
        <v>45</v>
      </c>
      <c r="L1170" s="8"/>
      <c r="M1170" s="8"/>
      <c r="N1170" s="8"/>
    </row>
    <row r="1171" spans="1:14" ht="15.4" customHeight="1" thickBot="1" x14ac:dyDescent="0.25">
      <c r="A1171" s="12" t="s">
        <v>2702</v>
      </c>
      <c r="B1171" s="6" t="s">
        <v>2703</v>
      </c>
      <c r="C1171" s="6" t="s">
        <v>2704</v>
      </c>
      <c r="D1171" s="60" t="s">
        <v>2705</v>
      </c>
      <c r="E1171" s="60"/>
      <c r="F1171" s="60"/>
      <c r="G1171" s="60"/>
      <c r="H1171" s="60"/>
      <c r="I1171" s="60"/>
      <c r="J1171" s="60"/>
      <c r="K1171" s="22">
        <f>SUM(K1174:K1174)</f>
        <v>30</v>
      </c>
      <c r="L1171" s="22">
        <f>ROUND(28.19*(1+M2/100),2)</f>
        <v>28.19</v>
      </c>
      <c r="M1171" s="22">
        <f>ROUND(K1171*L1171,2)</f>
        <v>845.7</v>
      </c>
      <c r="N1171" s="8"/>
    </row>
    <row r="1172" spans="1:14" ht="30.95" customHeight="1" thickBot="1" x14ac:dyDescent="0.25">
      <c r="A1172" s="8"/>
      <c r="B1172" s="8"/>
      <c r="C1172" s="8"/>
      <c r="D1172" s="60" t="s">
        <v>2706</v>
      </c>
      <c r="E1172" s="60"/>
      <c r="F1172" s="60"/>
      <c r="G1172" s="60"/>
      <c r="H1172" s="60"/>
      <c r="I1172" s="60"/>
      <c r="J1172" s="60"/>
      <c r="K1172" s="60"/>
      <c r="L1172" s="60"/>
      <c r="M1172" s="60"/>
      <c r="N1172" s="8"/>
    </row>
    <row r="1173" spans="1:14" ht="15.4" customHeight="1" thickBot="1" x14ac:dyDescent="0.25">
      <c r="A1173" s="8"/>
      <c r="B1173" s="8"/>
      <c r="C1173" s="8"/>
      <c r="D1173" s="8"/>
      <c r="E1173" s="23"/>
      <c r="F1173" s="25" t="s">
        <v>2707</v>
      </c>
      <c r="G1173" s="25" t="s">
        <v>2708</v>
      </c>
      <c r="H1173" s="25" t="s">
        <v>2709</v>
      </c>
      <c r="I1173" s="25" t="s">
        <v>2710</v>
      </c>
      <c r="J1173" s="25" t="s">
        <v>2711</v>
      </c>
      <c r="K1173" s="25" t="s">
        <v>2712</v>
      </c>
      <c r="L1173" s="8"/>
      <c r="M1173" s="8"/>
      <c r="N1173" s="8"/>
    </row>
    <row r="1174" spans="1:14" ht="15.4" customHeight="1" thickBot="1" x14ac:dyDescent="0.25">
      <c r="A1174" s="8"/>
      <c r="B1174" s="8"/>
      <c r="C1174" s="8"/>
      <c r="D1174" s="26"/>
      <c r="E1174" s="27"/>
      <c r="F1174" s="28">
        <v>1</v>
      </c>
      <c r="G1174" s="29">
        <v>30</v>
      </c>
      <c r="H1174" s="29"/>
      <c r="I1174" s="29"/>
      <c r="J1174" s="31">
        <f>ROUND(F1174*G1174,2)</f>
        <v>30</v>
      </c>
      <c r="K1174" s="33">
        <f>SUM(J1174:J1174)</f>
        <v>30</v>
      </c>
      <c r="L1174" s="8"/>
      <c r="M1174" s="8"/>
      <c r="N1174" s="8"/>
    </row>
    <row r="1175" spans="1:14" ht="15.4" customHeight="1" thickBot="1" x14ac:dyDescent="0.25">
      <c r="A1175" s="12" t="s">
        <v>2713</v>
      </c>
      <c r="B1175" s="6" t="s">
        <v>2714</v>
      </c>
      <c r="C1175" s="6" t="s">
        <v>2715</v>
      </c>
      <c r="D1175" s="60" t="s">
        <v>2716</v>
      </c>
      <c r="E1175" s="60"/>
      <c r="F1175" s="60"/>
      <c r="G1175" s="60"/>
      <c r="H1175" s="60"/>
      <c r="I1175" s="60"/>
      <c r="J1175" s="60"/>
      <c r="K1175" s="22">
        <f>SUM(K1178:K1178)</f>
        <v>10</v>
      </c>
      <c r="L1175" s="22">
        <f>ROUND(36.31*(1+M2/100),2)</f>
        <v>36.31</v>
      </c>
      <c r="M1175" s="22">
        <f>ROUND(K1175*L1175,2)</f>
        <v>363.1</v>
      </c>
      <c r="N1175" s="8"/>
    </row>
    <row r="1176" spans="1:14" ht="30.95" customHeight="1" thickBot="1" x14ac:dyDescent="0.25">
      <c r="A1176" s="8"/>
      <c r="B1176" s="8"/>
      <c r="C1176" s="8"/>
      <c r="D1176" s="60" t="s">
        <v>2717</v>
      </c>
      <c r="E1176" s="60"/>
      <c r="F1176" s="60"/>
      <c r="G1176" s="60"/>
      <c r="H1176" s="60"/>
      <c r="I1176" s="60"/>
      <c r="J1176" s="60"/>
      <c r="K1176" s="60"/>
      <c r="L1176" s="60"/>
      <c r="M1176" s="60"/>
      <c r="N1176" s="8"/>
    </row>
    <row r="1177" spans="1:14" ht="15.4" customHeight="1" thickBot="1" x14ac:dyDescent="0.25">
      <c r="A1177" s="8"/>
      <c r="B1177" s="8"/>
      <c r="C1177" s="8"/>
      <c r="D1177" s="8"/>
      <c r="E1177" s="23"/>
      <c r="F1177" s="25" t="s">
        <v>2718</v>
      </c>
      <c r="G1177" s="25" t="s">
        <v>2719</v>
      </c>
      <c r="H1177" s="25" t="s">
        <v>2720</v>
      </c>
      <c r="I1177" s="25" t="s">
        <v>2721</v>
      </c>
      <c r="J1177" s="25" t="s">
        <v>2722</v>
      </c>
      <c r="K1177" s="25" t="s">
        <v>2723</v>
      </c>
      <c r="L1177" s="8"/>
      <c r="M1177" s="8"/>
      <c r="N1177" s="8"/>
    </row>
    <row r="1178" spans="1:14" ht="15.4" customHeight="1" thickBot="1" x14ac:dyDescent="0.25">
      <c r="A1178" s="8"/>
      <c r="B1178" s="8"/>
      <c r="C1178" s="8"/>
      <c r="D1178" s="26"/>
      <c r="E1178" s="27"/>
      <c r="F1178" s="28">
        <v>1</v>
      </c>
      <c r="G1178" s="29">
        <v>10</v>
      </c>
      <c r="H1178" s="29"/>
      <c r="I1178" s="29"/>
      <c r="J1178" s="31">
        <f>ROUND(F1178*G1178,2)</f>
        <v>10</v>
      </c>
      <c r="K1178" s="33">
        <f>SUM(J1178:J1178)</f>
        <v>10</v>
      </c>
      <c r="L1178" s="8"/>
      <c r="M1178" s="8"/>
      <c r="N1178" s="8"/>
    </row>
    <row r="1179" spans="1:14" ht="15.4" customHeight="1" thickBot="1" x14ac:dyDescent="0.25">
      <c r="A1179" s="12" t="s">
        <v>2724</v>
      </c>
      <c r="B1179" s="6" t="s">
        <v>2725</v>
      </c>
      <c r="C1179" s="6" t="s">
        <v>2726</v>
      </c>
      <c r="D1179" s="60" t="s">
        <v>2727</v>
      </c>
      <c r="E1179" s="60"/>
      <c r="F1179" s="60"/>
      <c r="G1179" s="60"/>
      <c r="H1179" s="60"/>
      <c r="I1179" s="60"/>
      <c r="J1179" s="60"/>
      <c r="K1179" s="22">
        <f>SUM(K1182:K1182)</f>
        <v>1</v>
      </c>
      <c r="L1179" s="22">
        <f>ROUND(182.59*(1+M2/100),2)</f>
        <v>182.59</v>
      </c>
      <c r="M1179" s="22">
        <f>ROUND(K1179*L1179,2)</f>
        <v>182.59</v>
      </c>
      <c r="N1179" s="8"/>
    </row>
    <row r="1180" spans="1:14" ht="21.6" customHeight="1" thickBot="1" x14ac:dyDescent="0.25">
      <c r="A1180" s="8"/>
      <c r="B1180" s="8"/>
      <c r="C1180" s="8"/>
      <c r="D1180" s="60" t="s">
        <v>2728</v>
      </c>
      <c r="E1180" s="60"/>
      <c r="F1180" s="60"/>
      <c r="G1180" s="60"/>
      <c r="H1180" s="60"/>
      <c r="I1180" s="60"/>
      <c r="J1180" s="60"/>
      <c r="K1180" s="60"/>
      <c r="L1180" s="60"/>
      <c r="M1180" s="60"/>
      <c r="N1180" s="8"/>
    </row>
    <row r="1181" spans="1:14" ht="15.4" customHeight="1" thickBot="1" x14ac:dyDescent="0.25">
      <c r="A1181" s="8"/>
      <c r="B1181" s="8"/>
      <c r="C1181" s="8"/>
      <c r="D1181" s="8"/>
      <c r="E1181" s="23"/>
      <c r="F1181" s="25" t="s">
        <v>2729</v>
      </c>
      <c r="G1181" s="25" t="s">
        <v>2730</v>
      </c>
      <c r="H1181" s="25" t="s">
        <v>2731</v>
      </c>
      <c r="I1181" s="25" t="s">
        <v>2732</v>
      </c>
      <c r="J1181" s="25" t="s">
        <v>2733</v>
      </c>
      <c r="K1181" s="25" t="s">
        <v>2734</v>
      </c>
      <c r="L1181" s="8"/>
      <c r="M1181" s="8"/>
      <c r="N1181" s="8"/>
    </row>
    <row r="1182" spans="1:14" ht="15.4" customHeight="1" thickBot="1" x14ac:dyDescent="0.25">
      <c r="A1182" s="8"/>
      <c r="B1182" s="8"/>
      <c r="C1182" s="8"/>
      <c r="D1182" s="26"/>
      <c r="E1182" s="27"/>
      <c r="F1182" s="28">
        <v>1</v>
      </c>
      <c r="G1182" s="29"/>
      <c r="H1182" s="29"/>
      <c r="I1182" s="29"/>
      <c r="J1182" s="31">
        <f>ROUND(F1182,2)</f>
        <v>1</v>
      </c>
      <c r="K1182" s="33">
        <f>SUM(J1182:J1182)</f>
        <v>1</v>
      </c>
      <c r="L1182" s="8"/>
      <c r="M1182" s="8"/>
      <c r="N1182" s="8"/>
    </row>
    <row r="1183" spans="1:14" ht="15.4" customHeight="1" thickBot="1" x14ac:dyDescent="0.25">
      <c r="A1183" s="12" t="s">
        <v>2735</v>
      </c>
      <c r="B1183" s="6" t="s">
        <v>2736</v>
      </c>
      <c r="C1183" s="6" t="s">
        <v>2737</v>
      </c>
      <c r="D1183" s="60" t="s">
        <v>2738</v>
      </c>
      <c r="E1183" s="60"/>
      <c r="F1183" s="60"/>
      <c r="G1183" s="60"/>
      <c r="H1183" s="60"/>
      <c r="I1183" s="60"/>
      <c r="J1183" s="60"/>
      <c r="K1183" s="22">
        <f>SUM(K1186:K1186)</f>
        <v>2</v>
      </c>
      <c r="L1183" s="22">
        <f>ROUND(436.66*(1+M2/100),2)</f>
        <v>436.66</v>
      </c>
      <c r="M1183" s="22">
        <f>ROUND(K1183*L1183,2)</f>
        <v>873.32</v>
      </c>
      <c r="N1183" s="8"/>
    </row>
    <row r="1184" spans="1:14" ht="21.6" customHeight="1" thickBot="1" x14ac:dyDescent="0.25">
      <c r="A1184" s="8"/>
      <c r="B1184" s="8"/>
      <c r="C1184" s="8"/>
      <c r="D1184" s="60" t="s">
        <v>2739</v>
      </c>
      <c r="E1184" s="60"/>
      <c r="F1184" s="60"/>
      <c r="G1184" s="60"/>
      <c r="H1184" s="60"/>
      <c r="I1184" s="60"/>
      <c r="J1184" s="60"/>
      <c r="K1184" s="60"/>
      <c r="L1184" s="60"/>
      <c r="M1184" s="60"/>
      <c r="N1184" s="8"/>
    </row>
    <row r="1185" spans="1:14" ht="15.4" customHeight="1" thickBot="1" x14ac:dyDescent="0.25">
      <c r="A1185" s="8"/>
      <c r="B1185" s="8"/>
      <c r="C1185" s="8"/>
      <c r="D1185" s="8"/>
      <c r="E1185" s="23"/>
      <c r="F1185" s="25" t="s">
        <v>2740</v>
      </c>
      <c r="G1185" s="25" t="s">
        <v>2741</v>
      </c>
      <c r="H1185" s="25" t="s">
        <v>2742</v>
      </c>
      <c r="I1185" s="25" t="s">
        <v>2743</v>
      </c>
      <c r="J1185" s="25" t="s">
        <v>2744</v>
      </c>
      <c r="K1185" s="25" t="s">
        <v>2745</v>
      </c>
      <c r="L1185" s="8"/>
      <c r="M1185" s="8"/>
      <c r="N1185" s="8"/>
    </row>
    <row r="1186" spans="1:14" ht="15.4" customHeight="1" thickBot="1" x14ac:dyDescent="0.25">
      <c r="A1186" s="8"/>
      <c r="B1186" s="8"/>
      <c r="C1186" s="8"/>
      <c r="D1186" s="26"/>
      <c r="E1186" s="27"/>
      <c r="F1186" s="28">
        <v>2</v>
      </c>
      <c r="G1186" s="29"/>
      <c r="H1186" s="29"/>
      <c r="I1186" s="29"/>
      <c r="J1186" s="31">
        <f>ROUND(F1186,2)</f>
        <v>2</v>
      </c>
      <c r="K1186" s="33">
        <f>SUM(J1186:J1186)</f>
        <v>2</v>
      </c>
      <c r="L1186" s="8"/>
      <c r="M1186" s="8"/>
      <c r="N1186" s="8"/>
    </row>
    <row r="1187" spans="1:14" ht="15.4" customHeight="1" thickBot="1" x14ac:dyDescent="0.25">
      <c r="A1187" s="12" t="s">
        <v>2746</v>
      </c>
      <c r="B1187" s="6" t="s">
        <v>2747</v>
      </c>
      <c r="C1187" s="6" t="s">
        <v>2748</v>
      </c>
      <c r="D1187" s="60" t="s">
        <v>2749</v>
      </c>
      <c r="E1187" s="60"/>
      <c r="F1187" s="60"/>
      <c r="G1187" s="60"/>
      <c r="H1187" s="60"/>
      <c r="I1187" s="60"/>
      <c r="J1187" s="60"/>
      <c r="K1187" s="22">
        <f>SUM(K1190:K1190)</f>
        <v>140</v>
      </c>
      <c r="L1187" s="22">
        <f>ROUND(29.22*(1+M2/100),2)</f>
        <v>29.22</v>
      </c>
      <c r="M1187" s="22">
        <f>ROUND(K1187*L1187,2)</f>
        <v>4090.8</v>
      </c>
      <c r="N1187" s="8"/>
    </row>
    <row r="1188" spans="1:14" ht="30.95" customHeight="1" thickBot="1" x14ac:dyDescent="0.25">
      <c r="A1188" s="8"/>
      <c r="B1188" s="8"/>
      <c r="C1188" s="8"/>
      <c r="D1188" s="60" t="s">
        <v>2750</v>
      </c>
      <c r="E1188" s="60"/>
      <c r="F1188" s="60"/>
      <c r="G1188" s="60"/>
      <c r="H1188" s="60"/>
      <c r="I1188" s="60"/>
      <c r="J1188" s="60"/>
      <c r="K1188" s="60"/>
      <c r="L1188" s="60"/>
      <c r="M1188" s="60"/>
      <c r="N1188" s="8"/>
    </row>
    <row r="1189" spans="1:14" ht="15.4" customHeight="1" thickBot="1" x14ac:dyDescent="0.25">
      <c r="A1189" s="8"/>
      <c r="B1189" s="8"/>
      <c r="C1189" s="8"/>
      <c r="D1189" s="8"/>
      <c r="E1189" s="23"/>
      <c r="F1189" s="25" t="s">
        <v>2751</v>
      </c>
      <c r="G1189" s="25" t="s">
        <v>2752</v>
      </c>
      <c r="H1189" s="25" t="s">
        <v>2753</v>
      </c>
      <c r="I1189" s="25" t="s">
        <v>2754</v>
      </c>
      <c r="J1189" s="25" t="s">
        <v>2755</v>
      </c>
      <c r="K1189" s="25" t="s">
        <v>2756</v>
      </c>
      <c r="L1189" s="8"/>
      <c r="M1189" s="8"/>
      <c r="N1189" s="8"/>
    </row>
    <row r="1190" spans="1:14" ht="15.4" customHeight="1" thickBot="1" x14ac:dyDescent="0.25">
      <c r="A1190" s="8"/>
      <c r="B1190" s="8"/>
      <c r="C1190" s="8"/>
      <c r="D1190" s="26"/>
      <c r="E1190" s="27" t="s">
        <v>2757</v>
      </c>
      <c r="F1190" s="28">
        <v>7</v>
      </c>
      <c r="G1190" s="29">
        <v>20</v>
      </c>
      <c r="H1190" s="29"/>
      <c r="I1190" s="29"/>
      <c r="J1190" s="31">
        <f>ROUND(F1190*G1190,2)</f>
        <v>140</v>
      </c>
      <c r="K1190" s="33">
        <f>SUM(J1190:J1190)</f>
        <v>140</v>
      </c>
      <c r="L1190" s="8"/>
      <c r="M1190" s="8"/>
      <c r="N1190" s="8"/>
    </row>
    <row r="1191" spans="1:14" ht="15.4" customHeight="1" thickBot="1" x14ac:dyDescent="0.25">
      <c r="A1191" s="12" t="s">
        <v>2758</v>
      </c>
      <c r="B1191" s="6" t="s">
        <v>2759</v>
      </c>
      <c r="C1191" s="6" t="s">
        <v>2760</v>
      </c>
      <c r="D1191" s="60" t="s">
        <v>2761</v>
      </c>
      <c r="E1191" s="60"/>
      <c r="F1191" s="60"/>
      <c r="G1191" s="60"/>
      <c r="H1191" s="60"/>
      <c r="I1191" s="60"/>
      <c r="J1191" s="60"/>
      <c r="K1191" s="22">
        <f>SUM(K1194:K1194)</f>
        <v>7</v>
      </c>
      <c r="L1191" s="22">
        <f>ROUND(2517.64*(1+M2/100),2)</f>
        <v>2517.64</v>
      </c>
      <c r="M1191" s="22">
        <f>ROUND(K1191*L1191,2)</f>
        <v>17623.48</v>
      </c>
      <c r="N1191" s="8"/>
    </row>
    <row r="1192" spans="1:14" ht="133.9" customHeight="1" thickBot="1" x14ac:dyDescent="0.25">
      <c r="A1192" s="8"/>
      <c r="B1192" s="8"/>
      <c r="C1192" s="8"/>
      <c r="D1192" s="60" t="s">
        <v>2762</v>
      </c>
      <c r="E1192" s="60"/>
      <c r="F1192" s="60"/>
      <c r="G1192" s="60"/>
      <c r="H1192" s="60"/>
      <c r="I1192" s="60"/>
      <c r="J1192" s="60"/>
      <c r="K1192" s="60"/>
      <c r="L1192" s="60"/>
      <c r="M1192" s="60"/>
      <c r="N1192" s="8"/>
    </row>
    <row r="1193" spans="1:14" ht="15.4" customHeight="1" thickBot="1" x14ac:dyDescent="0.25">
      <c r="A1193" s="8"/>
      <c r="B1193" s="8"/>
      <c r="C1193" s="8"/>
      <c r="D1193" s="8"/>
      <c r="E1193" s="23"/>
      <c r="F1193" s="25" t="s">
        <v>2763</v>
      </c>
      <c r="G1193" s="25" t="s">
        <v>2764</v>
      </c>
      <c r="H1193" s="25" t="s">
        <v>2765</v>
      </c>
      <c r="I1193" s="25" t="s">
        <v>2766</v>
      </c>
      <c r="J1193" s="25" t="s">
        <v>2767</v>
      </c>
      <c r="K1193" s="25" t="s">
        <v>2768</v>
      </c>
      <c r="L1193" s="8"/>
      <c r="M1193" s="8"/>
      <c r="N1193" s="8"/>
    </row>
    <row r="1194" spans="1:14" ht="15.4" customHeight="1" thickBot="1" x14ac:dyDescent="0.25">
      <c r="A1194" s="8"/>
      <c r="B1194" s="8"/>
      <c r="C1194" s="8"/>
      <c r="D1194" s="26"/>
      <c r="E1194" s="27" t="s">
        <v>2769</v>
      </c>
      <c r="F1194" s="28">
        <v>7</v>
      </c>
      <c r="G1194" s="29"/>
      <c r="H1194" s="29"/>
      <c r="I1194" s="29"/>
      <c r="J1194" s="31">
        <f>ROUND(F1194,2)</f>
        <v>7</v>
      </c>
      <c r="K1194" s="33">
        <f>SUM(J1194:J1194)</f>
        <v>7</v>
      </c>
      <c r="L1194" s="8"/>
      <c r="M1194" s="8"/>
      <c r="N1194" s="8"/>
    </row>
    <row r="1195" spans="1:14" ht="15.4" customHeight="1" thickBot="1" x14ac:dyDescent="0.25">
      <c r="A1195" s="36"/>
      <c r="B1195" s="36"/>
      <c r="C1195" s="36"/>
      <c r="D1195" s="37" t="s">
        <v>2770</v>
      </c>
      <c r="E1195" s="38"/>
      <c r="F1195" s="38"/>
      <c r="G1195" s="38"/>
      <c r="H1195" s="38"/>
      <c r="I1195" s="38"/>
      <c r="J1195" s="38"/>
      <c r="K1195" s="38"/>
      <c r="L1195" s="39">
        <f>M1167+M1171+M1175+M1179+M1183+M1187+M1191</f>
        <v>24988.34</v>
      </c>
      <c r="M1195" s="39">
        <f>ROUND(L1195,2)</f>
        <v>24988.34</v>
      </c>
      <c r="N1195" s="8"/>
    </row>
    <row r="1196" spans="1:14" ht="15.4" customHeight="1" thickBot="1" x14ac:dyDescent="0.25">
      <c r="A1196" s="40" t="s">
        <v>2771</v>
      </c>
      <c r="B1196" s="40" t="s">
        <v>2772</v>
      </c>
      <c r="C1196" s="41"/>
      <c r="D1196" s="61" t="s">
        <v>2773</v>
      </c>
      <c r="E1196" s="61"/>
      <c r="F1196" s="61"/>
      <c r="G1196" s="61"/>
      <c r="H1196" s="61"/>
      <c r="I1196" s="61"/>
      <c r="J1196" s="61"/>
      <c r="K1196" s="41"/>
      <c r="L1196" s="42">
        <f>L1300</f>
        <v>18205.84</v>
      </c>
      <c r="M1196" s="42">
        <f>ROUND(L1196,2)</f>
        <v>18205.84</v>
      </c>
      <c r="N1196" s="8"/>
    </row>
    <row r="1197" spans="1:14" ht="15.4" customHeight="1" thickBot="1" x14ac:dyDescent="0.25">
      <c r="A1197" s="12" t="s">
        <v>2774</v>
      </c>
      <c r="B1197" s="6" t="s">
        <v>2775</v>
      </c>
      <c r="C1197" s="6" t="s">
        <v>2776</v>
      </c>
      <c r="D1197" s="60" t="s">
        <v>2777</v>
      </c>
      <c r="E1197" s="60"/>
      <c r="F1197" s="60"/>
      <c r="G1197" s="60"/>
      <c r="H1197" s="60"/>
      <c r="I1197" s="60"/>
      <c r="J1197" s="60"/>
      <c r="K1197" s="22">
        <f>SUM(K1200:K1200)</f>
        <v>2</v>
      </c>
      <c r="L1197" s="22">
        <f>ROUND(479.47*(1+M2/100),2)</f>
        <v>479.47</v>
      </c>
      <c r="M1197" s="22">
        <f>ROUND(K1197*L1197,2)</f>
        <v>958.94</v>
      </c>
      <c r="N1197" s="8"/>
    </row>
    <row r="1198" spans="1:14" ht="30.95" customHeight="1" thickBot="1" x14ac:dyDescent="0.25">
      <c r="A1198" s="8"/>
      <c r="B1198" s="8"/>
      <c r="C1198" s="8"/>
      <c r="D1198" s="60" t="s">
        <v>2778</v>
      </c>
      <c r="E1198" s="60"/>
      <c r="F1198" s="60"/>
      <c r="G1198" s="60"/>
      <c r="H1198" s="60"/>
      <c r="I1198" s="60"/>
      <c r="J1198" s="60"/>
      <c r="K1198" s="60"/>
      <c r="L1198" s="60"/>
      <c r="M1198" s="60"/>
      <c r="N1198" s="8"/>
    </row>
    <row r="1199" spans="1:14" ht="15.4" customHeight="1" thickBot="1" x14ac:dyDescent="0.25">
      <c r="A1199" s="8"/>
      <c r="B1199" s="8"/>
      <c r="C1199" s="8"/>
      <c r="D1199" s="8"/>
      <c r="E1199" s="23"/>
      <c r="F1199" s="25" t="s">
        <v>2779</v>
      </c>
      <c r="G1199" s="25" t="s">
        <v>2780</v>
      </c>
      <c r="H1199" s="25" t="s">
        <v>2781</v>
      </c>
      <c r="I1199" s="25" t="s">
        <v>2782</v>
      </c>
      <c r="J1199" s="25" t="s">
        <v>2783</v>
      </c>
      <c r="K1199" s="25" t="s">
        <v>2784</v>
      </c>
      <c r="L1199" s="8"/>
      <c r="M1199" s="8"/>
      <c r="N1199" s="8"/>
    </row>
    <row r="1200" spans="1:14" ht="15.4" customHeight="1" thickBot="1" x14ac:dyDescent="0.25">
      <c r="A1200" s="8"/>
      <c r="B1200" s="8"/>
      <c r="C1200" s="8"/>
      <c r="D1200" s="26"/>
      <c r="E1200" s="27" t="s">
        <v>2785</v>
      </c>
      <c r="F1200" s="28">
        <v>2</v>
      </c>
      <c r="G1200" s="29"/>
      <c r="H1200" s="29"/>
      <c r="I1200" s="29"/>
      <c r="J1200" s="31">
        <f>ROUND(F1200,2)</f>
        <v>2</v>
      </c>
      <c r="K1200" s="33">
        <f>SUM(J1200:J1200)</f>
        <v>2</v>
      </c>
      <c r="L1200" s="8"/>
      <c r="M1200" s="8"/>
      <c r="N1200" s="8"/>
    </row>
    <row r="1201" spans="1:14" ht="15.4" customHeight="1" thickBot="1" x14ac:dyDescent="0.25">
      <c r="A1201" s="12" t="s">
        <v>2786</v>
      </c>
      <c r="B1201" s="6" t="s">
        <v>2787</v>
      </c>
      <c r="C1201" s="6" t="s">
        <v>2788</v>
      </c>
      <c r="D1201" s="60" t="s">
        <v>2789</v>
      </c>
      <c r="E1201" s="60"/>
      <c r="F1201" s="60"/>
      <c r="G1201" s="60"/>
      <c r="H1201" s="60"/>
      <c r="I1201" s="60"/>
      <c r="J1201" s="60"/>
      <c r="K1201" s="22">
        <f>SUM(K1204:K1205)</f>
        <v>32</v>
      </c>
      <c r="L1201" s="22">
        <f>ROUND(22.32*(1+M2/100),2)</f>
        <v>22.32</v>
      </c>
      <c r="M1201" s="22">
        <f>ROUND(K1201*L1201,2)</f>
        <v>714.24</v>
      </c>
      <c r="N1201" s="8"/>
    </row>
    <row r="1202" spans="1:14" ht="12.2" customHeight="1" thickBot="1" x14ac:dyDescent="0.25">
      <c r="A1202" s="8"/>
      <c r="B1202" s="8"/>
      <c r="C1202" s="8"/>
      <c r="D1202" s="60" t="s">
        <v>2790</v>
      </c>
      <c r="E1202" s="60"/>
      <c r="F1202" s="60"/>
      <c r="G1202" s="60"/>
      <c r="H1202" s="60"/>
      <c r="I1202" s="60"/>
      <c r="J1202" s="60"/>
      <c r="K1202" s="60"/>
      <c r="L1202" s="60"/>
      <c r="M1202" s="60"/>
      <c r="N1202" s="8"/>
    </row>
    <row r="1203" spans="1:14" ht="15.4" customHeight="1" thickBot="1" x14ac:dyDescent="0.25">
      <c r="A1203" s="8"/>
      <c r="B1203" s="8"/>
      <c r="C1203" s="8"/>
      <c r="D1203" s="8"/>
      <c r="E1203" s="23"/>
      <c r="F1203" s="25" t="s">
        <v>2791</v>
      </c>
      <c r="G1203" s="25" t="s">
        <v>2792</v>
      </c>
      <c r="H1203" s="25" t="s">
        <v>2793</v>
      </c>
      <c r="I1203" s="25" t="s">
        <v>2794</v>
      </c>
      <c r="J1203" s="25" t="s">
        <v>2795</v>
      </c>
      <c r="K1203" s="25" t="s">
        <v>2796</v>
      </c>
      <c r="L1203" s="8"/>
      <c r="M1203" s="8"/>
      <c r="N1203" s="8"/>
    </row>
    <row r="1204" spans="1:14" ht="15.4" customHeight="1" thickBot="1" x14ac:dyDescent="0.25">
      <c r="A1204" s="8"/>
      <c r="B1204" s="8"/>
      <c r="C1204" s="8"/>
      <c r="D1204" s="26"/>
      <c r="E1204" s="27" t="s">
        <v>2797</v>
      </c>
      <c r="F1204" s="28">
        <v>14</v>
      </c>
      <c r="G1204" s="29"/>
      <c r="H1204" s="29"/>
      <c r="I1204" s="29"/>
      <c r="J1204" s="31">
        <f>ROUND(F1204,2)</f>
        <v>14</v>
      </c>
      <c r="K1204" s="35"/>
      <c r="L1204" s="8"/>
      <c r="M1204" s="8"/>
      <c r="N1204" s="8"/>
    </row>
    <row r="1205" spans="1:14" ht="15.4" customHeight="1" thickBot="1" x14ac:dyDescent="0.25">
      <c r="A1205" s="8"/>
      <c r="B1205" s="8"/>
      <c r="C1205" s="8"/>
      <c r="D1205" s="26"/>
      <c r="E1205" s="6" t="s">
        <v>2798</v>
      </c>
      <c r="F1205" s="4">
        <v>18</v>
      </c>
      <c r="G1205" s="22"/>
      <c r="H1205" s="22"/>
      <c r="I1205" s="22"/>
      <c r="J1205" s="30">
        <f>ROUND(F1205,2)</f>
        <v>18</v>
      </c>
      <c r="K1205" s="32">
        <f>SUM(J1204:J1205)</f>
        <v>32</v>
      </c>
      <c r="L1205" s="8"/>
      <c r="M1205" s="8"/>
      <c r="N1205" s="8"/>
    </row>
    <row r="1206" spans="1:14" ht="15.4" customHeight="1" thickBot="1" x14ac:dyDescent="0.25">
      <c r="A1206" s="12" t="s">
        <v>2799</v>
      </c>
      <c r="B1206" s="6" t="s">
        <v>2800</v>
      </c>
      <c r="C1206" s="6" t="s">
        <v>2801</v>
      </c>
      <c r="D1206" s="60" t="s">
        <v>2802</v>
      </c>
      <c r="E1206" s="60"/>
      <c r="F1206" s="60"/>
      <c r="G1206" s="60"/>
      <c r="H1206" s="60"/>
      <c r="I1206" s="60"/>
      <c r="J1206" s="60"/>
      <c r="K1206" s="22">
        <f>SUM(K1209:K1210)</f>
        <v>33</v>
      </c>
      <c r="L1206" s="22">
        <f>ROUND(27.17*(1+M2/100),2)</f>
        <v>27.17</v>
      </c>
      <c r="M1206" s="22">
        <f>ROUND(K1206*L1206,2)</f>
        <v>896.61</v>
      </c>
      <c r="N1206" s="8"/>
    </row>
    <row r="1207" spans="1:14" ht="12.2" customHeight="1" thickBot="1" x14ac:dyDescent="0.25">
      <c r="A1207" s="8"/>
      <c r="B1207" s="8"/>
      <c r="C1207" s="8"/>
      <c r="D1207" s="60" t="s">
        <v>2803</v>
      </c>
      <c r="E1207" s="60"/>
      <c r="F1207" s="60"/>
      <c r="G1207" s="60"/>
      <c r="H1207" s="60"/>
      <c r="I1207" s="60"/>
      <c r="J1207" s="60"/>
      <c r="K1207" s="60"/>
      <c r="L1207" s="60"/>
      <c r="M1207" s="60"/>
      <c r="N1207" s="8"/>
    </row>
    <row r="1208" spans="1:14" ht="15.4" customHeight="1" thickBot="1" x14ac:dyDescent="0.25">
      <c r="A1208" s="8"/>
      <c r="B1208" s="8"/>
      <c r="C1208" s="8"/>
      <c r="D1208" s="8"/>
      <c r="E1208" s="23"/>
      <c r="F1208" s="25" t="s">
        <v>2804</v>
      </c>
      <c r="G1208" s="25" t="s">
        <v>2805</v>
      </c>
      <c r="H1208" s="25" t="s">
        <v>2806</v>
      </c>
      <c r="I1208" s="25" t="s">
        <v>2807</v>
      </c>
      <c r="J1208" s="25" t="s">
        <v>2808</v>
      </c>
      <c r="K1208" s="25" t="s">
        <v>2809</v>
      </c>
      <c r="L1208" s="8"/>
      <c r="M1208" s="8"/>
      <c r="N1208" s="8"/>
    </row>
    <row r="1209" spans="1:14" ht="15.4" customHeight="1" thickBot="1" x14ac:dyDescent="0.25">
      <c r="A1209" s="8"/>
      <c r="B1209" s="8"/>
      <c r="C1209" s="8"/>
      <c r="D1209" s="26"/>
      <c r="E1209" s="27" t="s">
        <v>2810</v>
      </c>
      <c r="F1209" s="28">
        <v>30</v>
      </c>
      <c r="G1209" s="29"/>
      <c r="H1209" s="29"/>
      <c r="I1209" s="29"/>
      <c r="J1209" s="31">
        <f>ROUND(F1209,2)</f>
        <v>30</v>
      </c>
      <c r="K1209" s="35"/>
      <c r="L1209" s="8"/>
      <c r="M1209" s="8"/>
      <c r="N1209" s="8"/>
    </row>
    <row r="1210" spans="1:14" ht="15.4" customHeight="1" thickBot="1" x14ac:dyDescent="0.25">
      <c r="A1210" s="8"/>
      <c r="B1210" s="8"/>
      <c r="C1210" s="8"/>
      <c r="D1210" s="26"/>
      <c r="E1210" s="6" t="s">
        <v>2811</v>
      </c>
      <c r="F1210" s="4">
        <v>3</v>
      </c>
      <c r="G1210" s="22"/>
      <c r="H1210" s="22"/>
      <c r="I1210" s="22"/>
      <c r="J1210" s="30">
        <f>ROUND(F1210,2)</f>
        <v>3</v>
      </c>
      <c r="K1210" s="32">
        <f>SUM(J1209:J1210)</f>
        <v>33</v>
      </c>
      <c r="L1210" s="8"/>
      <c r="M1210" s="8"/>
      <c r="N1210" s="8"/>
    </row>
    <row r="1211" spans="1:14" ht="15.4" customHeight="1" thickBot="1" x14ac:dyDescent="0.25">
      <c r="A1211" s="12" t="s">
        <v>2812</v>
      </c>
      <c r="B1211" s="6" t="s">
        <v>2813</v>
      </c>
      <c r="C1211" s="6" t="s">
        <v>2814</v>
      </c>
      <c r="D1211" s="60" t="s">
        <v>2815</v>
      </c>
      <c r="E1211" s="60"/>
      <c r="F1211" s="60"/>
      <c r="G1211" s="60"/>
      <c r="H1211" s="60"/>
      <c r="I1211" s="60"/>
      <c r="J1211" s="60"/>
      <c r="K1211" s="22">
        <f>SUM(K1214:K1214)</f>
        <v>10</v>
      </c>
      <c r="L1211" s="22">
        <f>ROUND(35.7*(1+M2/100),2)</f>
        <v>35.700000000000003</v>
      </c>
      <c r="M1211" s="22">
        <f>ROUND(K1211*L1211,2)</f>
        <v>357</v>
      </c>
      <c r="N1211" s="8"/>
    </row>
    <row r="1212" spans="1:14" ht="12.2" customHeight="1" thickBot="1" x14ac:dyDescent="0.25">
      <c r="A1212" s="8"/>
      <c r="B1212" s="8"/>
      <c r="C1212" s="8"/>
      <c r="D1212" s="60" t="s">
        <v>2816</v>
      </c>
      <c r="E1212" s="60"/>
      <c r="F1212" s="60"/>
      <c r="G1212" s="60"/>
      <c r="H1212" s="60"/>
      <c r="I1212" s="60"/>
      <c r="J1212" s="60"/>
      <c r="K1212" s="60"/>
      <c r="L1212" s="60"/>
      <c r="M1212" s="60"/>
      <c r="N1212" s="8"/>
    </row>
    <row r="1213" spans="1:14" ht="15.4" customHeight="1" thickBot="1" x14ac:dyDescent="0.25">
      <c r="A1213" s="8"/>
      <c r="B1213" s="8"/>
      <c r="C1213" s="8"/>
      <c r="D1213" s="8"/>
      <c r="E1213" s="23"/>
      <c r="F1213" s="25" t="s">
        <v>2817</v>
      </c>
      <c r="G1213" s="25" t="s">
        <v>2818</v>
      </c>
      <c r="H1213" s="25" t="s">
        <v>2819</v>
      </c>
      <c r="I1213" s="25" t="s">
        <v>2820</v>
      </c>
      <c r="J1213" s="25" t="s">
        <v>2821</v>
      </c>
      <c r="K1213" s="25" t="s">
        <v>2822</v>
      </c>
      <c r="L1213" s="8"/>
      <c r="M1213" s="8"/>
      <c r="N1213" s="8"/>
    </row>
    <row r="1214" spans="1:14" ht="15.4" customHeight="1" thickBot="1" x14ac:dyDescent="0.25">
      <c r="A1214" s="8"/>
      <c r="B1214" s="8"/>
      <c r="C1214" s="8"/>
      <c r="D1214" s="26"/>
      <c r="E1214" s="27" t="s">
        <v>2823</v>
      </c>
      <c r="F1214" s="28">
        <v>10</v>
      </c>
      <c r="G1214" s="29"/>
      <c r="H1214" s="29"/>
      <c r="I1214" s="29"/>
      <c r="J1214" s="31">
        <f>ROUND(F1214,2)</f>
        <v>10</v>
      </c>
      <c r="K1214" s="33">
        <f>SUM(J1214:J1214)</f>
        <v>10</v>
      </c>
      <c r="L1214" s="8"/>
      <c r="M1214" s="8"/>
      <c r="N1214" s="8"/>
    </row>
    <row r="1215" spans="1:14" ht="15.4" customHeight="1" thickBot="1" x14ac:dyDescent="0.25">
      <c r="A1215" s="12" t="s">
        <v>2824</v>
      </c>
      <c r="B1215" s="6" t="s">
        <v>2825</v>
      </c>
      <c r="C1215" s="6" t="s">
        <v>2826</v>
      </c>
      <c r="D1215" s="60" t="s">
        <v>2827</v>
      </c>
      <c r="E1215" s="60"/>
      <c r="F1215" s="60"/>
      <c r="G1215" s="60"/>
      <c r="H1215" s="60"/>
      <c r="I1215" s="60"/>
      <c r="J1215" s="60"/>
      <c r="K1215" s="22">
        <f>SUM(K1218:K1220)</f>
        <v>3</v>
      </c>
      <c r="L1215" s="22">
        <f>ROUND(50.08*(1+M2/100),2)</f>
        <v>50.08</v>
      </c>
      <c r="M1215" s="22">
        <f>ROUND(K1215*L1215,2)</f>
        <v>150.24</v>
      </c>
      <c r="N1215" s="8"/>
    </row>
    <row r="1216" spans="1:14" ht="12.2" customHeight="1" thickBot="1" x14ac:dyDescent="0.25">
      <c r="A1216" s="8"/>
      <c r="B1216" s="8"/>
      <c r="C1216" s="8"/>
      <c r="D1216" s="60" t="s">
        <v>2828</v>
      </c>
      <c r="E1216" s="60"/>
      <c r="F1216" s="60"/>
      <c r="G1216" s="60"/>
      <c r="H1216" s="60"/>
      <c r="I1216" s="60"/>
      <c r="J1216" s="60"/>
      <c r="K1216" s="60"/>
      <c r="L1216" s="60"/>
      <c r="M1216" s="60"/>
      <c r="N1216" s="8"/>
    </row>
    <row r="1217" spans="1:14" ht="15.4" customHeight="1" thickBot="1" x14ac:dyDescent="0.25">
      <c r="A1217" s="8"/>
      <c r="B1217" s="8"/>
      <c r="C1217" s="8"/>
      <c r="D1217" s="8"/>
      <c r="E1217" s="23"/>
      <c r="F1217" s="25" t="s">
        <v>2829</v>
      </c>
      <c r="G1217" s="25" t="s">
        <v>2830</v>
      </c>
      <c r="H1217" s="25" t="s">
        <v>2831</v>
      </c>
      <c r="I1217" s="25" t="s">
        <v>2832</v>
      </c>
      <c r="J1217" s="25" t="s">
        <v>2833</v>
      </c>
      <c r="K1217" s="25" t="s">
        <v>2834</v>
      </c>
      <c r="L1217" s="8"/>
      <c r="M1217" s="8"/>
      <c r="N1217" s="8"/>
    </row>
    <row r="1218" spans="1:14" ht="15.4" customHeight="1" thickBot="1" x14ac:dyDescent="0.25">
      <c r="A1218" s="8"/>
      <c r="B1218" s="8"/>
      <c r="C1218" s="8"/>
      <c r="D1218" s="26"/>
      <c r="E1218" s="27" t="s">
        <v>2835</v>
      </c>
      <c r="F1218" s="28">
        <v>1</v>
      </c>
      <c r="G1218" s="29"/>
      <c r="H1218" s="29"/>
      <c r="I1218" s="29"/>
      <c r="J1218" s="31">
        <f>ROUND(F1218,2)</f>
        <v>1</v>
      </c>
      <c r="K1218" s="35"/>
      <c r="L1218" s="8"/>
      <c r="M1218" s="8"/>
      <c r="N1218" s="8"/>
    </row>
    <row r="1219" spans="1:14" ht="15.4" customHeight="1" thickBot="1" x14ac:dyDescent="0.25">
      <c r="A1219" s="8"/>
      <c r="B1219" s="8"/>
      <c r="C1219" s="8"/>
      <c r="D1219" s="26"/>
      <c r="E1219" s="6" t="s">
        <v>2836</v>
      </c>
      <c r="F1219" s="4">
        <v>1</v>
      </c>
      <c r="G1219" s="22"/>
      <c r="H1219" s="22"/>
      <c r="I1219" s="22"/>
      <c r="J1219" s="30">
        <f>ROUND(F1219,2)</f>
        <v>1</v>
      </c>
      <c r="K1219" s="8"/>
      <c r="L1219" s="8"/>
      <c r="M1219" s="8"/>
      <c r="N1219" s="8"/>
    </row>
    <row r="1220" spans="1:14" ht="21.6" customHeight="1" thickBot="1" x14ac:dyDescent="0.25">
      <c r="A1220" s="8"/>
      <c r="B1220" s="8"/>
      <c r="C1220" s="8"/>
      <c r="D1220" s="26"/>
      <c r="E1220" s="6" t="s">
        <v>2837</v>
      </c>
      <c r="F1220" s="4">
        <v>1</v>
      </c>
      <c r="G1220" s="22"/>
      <c r="H1220" s="22"/>
      <c r="I1220" s="22"/>
      <c r="J1220" s="30">
        <f>ROUND(F1220,2)</f>
        <v>1</v>
      </c>
      <c r="K1220" s="32">
        <f>SUM(J1218:J1220)</f>
        <v>3</v>
      </c>
      <c r="L1220" s="8"/>
      <c r="M1220" s="8"/>
      <c r="N1220" s="8"/>
    </row>
    <row r="1221" spans="1:14" ht="15.4" customHeight="1" thickBot="1" x14ac:dyDescent="0.25">
      <c r="A1221" s="12" t="s">
        <v>2838</v>
      </c>
      <c r="B1221" s="6" t="s">
        <v>2839</v>
      </c>
      <c r="C1221" s="6" t="s">
        <v>2840</v>
      </c>
      <c r="D1221" s="60" t="s">
        <v>2841</v>
      </c>
      <c r="E1221" s="60"/>
      <c r="F1221" s="60"/>
      <c r="G1221" s="60"/>
      <c r="H1221" s="60"/>
      <c r="I1221" s="60"/>
      <c r="J1221" s="60"/>
      <c r="K1221" s="22">
        <f>SUM(K1224:K1230)</f>
        <v>24</v>
      </c>
      <c r="L1221" s="22">
        <f>ROUND(57.51*(1+M2/100),2)</f>
        <v>57.51</v>
      </c>
      <c r="M1221" s="22">
        <f>ROUND(K1221*L1221,2)</f>
        <v>1380.24</v>
      </c>
      <c r="N1221" s="8"/>
    </row>
    <row r="1222" spans="1:14" ht="12.2" customHeight="1" thickBot="1" x14ac:dyDescent="0.25">
      <c r="A1222" s="8"/>
      <c r="B1222" s="8"/>
      <c r="C1222" s="8"/>
      <c r="D1222" s="60" t="s">
        <v>2842</v>
      </c>
      <c r="E1222" s="60"/>
      <c r="F1222" s="60"/>
      <c r="G1222" s="60"/>
      <c r="H1222" s="60"/>
      <c r="I1222" s="60"/>
      <c r="J1222" s="60"/>
      <c r="K1222" s="60"/>
      <c r="L1222" s="60"/>
      <c r="M1222" s="60"/>
      <c r="N1222" s="8"/>
    </row>
    <row r="1223" spans="1:14" ht="15.4" customHeight="1" thickBot="1" x14ac:dyDescent="0.25">
      <c r="A1223" s="8"/>
      <c r="B1223" s="8"/>
      <c r="C1223" s="8"/>
      <c r="D1223" s="8"/>
      <c r="E1223" s="23"/>
      <c r="F1223" s="25" t="s">
        <v>2843</v>
      </c>
      <c r="G1223" s="25" t="s">
        <v>2844</v>
      </c>
      <c r="H1223" s="25" t="s">
        <v>2845</v>
      </c>
      <c r="I1223" s="25" t="s">
        <v>2846</v>
      </c>
      <c r="J1223" s="25" t="s">
        <v>2847</v>
      </c>
      <c r="K1223" s="25" t="s">
        <v>2848</v>
      </c>
      <c r="L1223" s="8"/>
      <c r="M1223" s="8"/>
      <c r="N1223" s="8"/>
    </row>
    <row r="1224" spans="1:14" ht="15.4" customHeight="1" thickBot="1" x14ac:dyDescent="0.25">
      <c r="A1224" s="8"/>
      <c r="B1224" s="8"/>
      <c r="C1224" s="8"/>
      <c r="D1224" s="26"/>
      <c r="E1224" s="27" t="s">
        <v>2849</v>
      </c>
      <c r="F1224" s="28">
        <v>1</v>
      </c>
      <c r="G1224" s="29"/>
      <c r="H1224" s="29"/>
      <c r="I1224" s="29"/>
      <c r="J1224" s="31">
        <f>ROUND(F1224,2)</f>
        <v>1</v>
      </c>
      <c r="K1224" s="35"/>
      <c r="L1224" s="8"/>
      <c r="M1224" s="8"/>
      <c r="N1224" s="8"/>
    </row>
    <row r="1225" spans="1:14" ht="15.4" customHeight="1" thickBot="1" x14ac:dyDescent="0.25">
      <c r="A1225" s="8"/>
      <c r="B1225" s="8"/>
      <c r="C1225" s="8"/>
      <c r="D1225" s="26"/>
      <c r="E1225" s="6" t="s">
        <v>2850</v>
      </c>
      <c r="F1225" s="4"/>
      <c r="G1225" s="22"/>
      <c r="H1225" s="22"/>
      <c r="I1225" s="22"/>
      <c r="J1225" s="24" t="s">
        <v>2851</v>
      </c>
      <c r="K1225" s="8"/>
      <c r="L1225" s="8"/>
      <c r="M1225" s="8"/>
      <c r="N1225" s="8"/>
    </row>
    <row r="1226" spans="1:14" ht="21.6" customHeight="1" thickBot="1" x14ac:dyDescent="0.25">
      <c r="A1226" s="8"/>
      <c r="B1226" s="8"/>
      <c r="C1226" s="8"/>
      <c r="D1226" s="26"/>
      <c r="E1226" s="6" t="s">
        <v>2852</v>
      </c>
      <c r="F1226" s="4">
        <v>4</v>
      </c>
      <c r="G1226" s="22"/>
      <c r="H1226" s="22"/>
      <c r="I1226" s="22"/>
      <c r="J1226" s="30">
        <f>ROUND(F1226,2)</f>
        <v>4</v>
      </c>
      <c r="K1226" s="8"/>
      <c r="L1226" s="8"/>
      <c r="M1226" s="8"/>
      <c r="N1226" s="8"/>
    </row>
    <row r="1227" spans="1:14" ht="15.4" customHeight="1" thickBot="1" x14ac:dyDescent="0.25">
      <c r="A1227" s="8"/>
      <c r="B1227" s="8"/>
      <c r="C1227" s="8"/>
      <c r="D1227" s="26"/>
      <c r="E1227" s="6" t="s">
        <v>2853</v>
      </c>
      <c r="F1227" s="4">
        <v>4</v>
      </c>
      <c r="G1227" s="22"/>
      <c r="H1227" s="22"/>
      <c r="I1227" s="22"/>
      <c r="J1227" s="30">
        <f>ROUND(F1227,2)</f>
        <v>4</v>
      </c>
      <c r="K1227" s="8"/>
      <c r="L1227" s="8"/>
      <c r="M1227" s="8"/>
      <c r="N1227" s="8"/>
    </row>
    <row r="1228" spans="1:14" ht="21.6" customHeight="1" thickBot="1" x14ac:dyDescent="0.25">
      <c r="A1228" s="8"/>
      <c r="B1228" s="8"/>
      <c r="C1228" s="8"/>
      <c r="D1228" s="26"/>
      <c r="E1228" s="6" t="s">
        <v>2854</v>
      </c>
      <c r="F1228" s="4">
        <v>10</v>
      </c>
      <c r="G1228" s="22"/>
      <c r="H1228" s="22"/>
      <c r="I1228" s="22"/>
      <c r="J1228" s="30">
        <f>ROUND(F1228,2)</f>
        <v>10</v>
      </c>
      <c r="K1228" s="8"/>
      <c r="L1228" s="8"/>
      <c r="M1228" s="8"/>
      <c r="N1228" s="8"/>
    </row>
    <row r="1229" spans="1:14" ht="21.6" customHeight="1" thickBot="1" x14ac:dyDescent="0.25">
      <c r="A1229" s="8"/>
      <c r="B1229" s="8"/>
      <c r="C1229" s="8"/>
      <c r="D1229" s="26"/>
      <c r="E1229" s="6" t="s">
        <v>2855</v>
      </c>
      <c r="F1229" s="4">
        <v>4</v>
      </c>
      <c r="G1229" s="22"/>
      <c r="H1229" s="22"/>
      <c r="I1229" s="22"/>
      <c r="J1229" s="30">
        <f>ROUND(F1229,2)</f>
        <v>4</v>
      </c>
      <c r="K1229" s="8"/>
      <c r="L1229" s="8"/>
      <c r="M1229" s="8"/>
      <c r="N1229" s="8"/>
    </row>
    <row r="1230" spans="1:14" ht="15.4" customHeight="1" thickBot="1" x14ac:dyDescent="0.25">
      <c r="A1230" s="8"/>
      <c r="B1230" s="8"/>
      <c r="C1230" s="8"/>
      <c r="D1230" s="26"/>
      <c r="E1230" s="6" t="s">
        <v>2856</v>
      </c>
      <c r="F1230" s="4">
        <v>1</v>
      </c>
      <c r="G1230" s="22"/>
      <c r="H1230" s="22"/>
      <c r="I1230" s="22"/>
      <c r="J1230" s="30">
        <f>ROUND(F1230,2)</f>
        <v>1</v>
      </c>
      <c r="K1230" s="32">
        <f>SUM(J1224:J1230)</f>
        <v>24</v>
      </c>
      <c r="L1230" s="8"/>
      <c r="M1230" s="8"/>
      <c r="N1230" s="8"/>
    </row>
    <row r="1231" spans="1:14" ht="15.4" customHeight="1" thickBot="1" x14ac:dyDescent="0.25">
      <c r="A1231" s="12" t="s">
        <v>2857</v>
      </c>
      <c r="B1231" s="6" t="s">
        <v>2858</v>
      </c>
      <c r="C1231" s="6" t="s">
        <v>2859</v>
      </c>
      <c r="D1231" s="60" t="s">
        <v>2860</v>
      </c>
      <c r="E1231" s="60"/>
      <c r="F1231" s="60"/>
      <c r="G1231" s="60"/>
      <c r="H1231" s="60"/>
      <c r="I1231" s="60"/>
      <c r="J1231" s="60"/>
      <c r="K1231" s="22">
        <f>SUM(K1234:K1234)</f>
        <v>2</v>
      </c>
      <c r="L1231" s="22">
        <f>ROUND(74.68*(1+M2/100),2)</f>
        <v>74.680000000000007</v>
      </c>
      <c r="M1231" s="22">
        <f>ROUND(K1231*L1231,2)</f>
        <v>149.36000000000001</v>
      </c>
      <c r="N1231" s="8"/>
    </row>
    <row r="1232" spans="1:14" ht="12.2" customHeight="1" thickBot="1" x14ac:dyDescent="0.25">
      <c r="A1232" s="8"/>
      <c r="B1232" s="8"/>
      <c r="C1232" s="8"/>
      <c r="D1232" s="60" t="s">
        <v>2861</v>
      </c>
      <c r="E1232" s="60"/>
      <c r="F1232" s="60"/>
      <c r="G1232" s="60"/>
      <c r="H1232" s="60"/>
      <c r="I1232" s="60"/>
      <c r="J1232" s="60"/>
      <c r="K1232" s="60"/>
      <c r="L1232" s="60"/>
      <c r="M1232" s="60"/>
      <c r="N1232" s="8"/>
    </row>
    <row r="1233" spans="1:14" ht="15.4" customHeight="1" thickBot="1" x14ac:dyDescent="0.25">
      <c r="A1233" s="8"/>
      <c r="B1233" s="8"/>
      <c r="C1233" s="8"/>
      <c r="D1233" s="8"/>
      <c r="E1233" s="23"/>
      <c r="F1233" s="25" t="s">
        <v>2862</v>
      </c>
      <c r="G1233" s="25" t="s">
        <v>2863</v>
      </c>
      <c r="H1233" s="25" t="s">
        <v>2864</v>
      </c>
      <c r="I1233" s="25" t="s">
        <v>2865</v>
      </c>
      <c r="J1233" s="25" t="s">
        <v>2866</v>
      </c>
      <c r="K1233" s="25" t="s">
        <v>2867</v>
      </c>
      <c r="L1233" s="8"/>
      <c r="M1233" s="8"/>
      <c r="N1233" s="8"/>
    </row>
    <row r="1234" spans="1:14" ht="15.4" customHeight="1" thickBot="1" x14ac:dyDescent="0.25">
      <c r="A1234" s="8"/>
      <c r="B1234" s="8"/>
      <c r="C1234" s="8"/>
      <c r="D1234" s="26"/>
      <c r="E1234" s="27" t="s">
        <v>2868</v>
      </c>
      <c r="F1234" s="28">
        <v>2</v>
      </c>
      <c r="G1234" s="29"/>
      <c r="H1234" s="29"/>
      <c r="I1234" s="29"/>
      <c r="J1234" s="31">
        <f>ROUND(F1234,2)</f>
        <v>2</v>
      </c>
      <c r="K1234" s="33">
        <f>SUM(J1234:J1234)</f>
        <v>2</v>
      </c>
      <c r="L1234" s="8"/>
      <c r="M1234" s="8"/>
      <c r="N1234" s="8"/>
    </row>
    <row r="1235" spans="1:14" ht="15.4" customHeight="1" thickBot="1" x14ac:dyDescent="0.25">
      <c r="A1235" s="12" t="s">
        <v>2869</v>
      </c>
      <c r="B1235" s="6" t="s">
        <v>2870</v>
      </c>
      <c r="C1235" s="6" t="s">
        <v>2871</v>
      </c>
      <c r="D1235" s="60" t="s">
        <v>2872</v>
      </c>
      <c r="E1235" s="60"/>
      <c r="F1235" s="60"/>
      <c r="G1235" s="60"/>
      <c r="H1235" s="60"/>
      <c r="I1235" s="60"/>
      <c r="J1235" s="60"/>
      <c r="K1235" s="22">
        <f>SUM(K1238:K1238)</f>
        <v>14</v>
      </c>
      <c r="L1235" s="22">
        <f>ROUND(41.3*(1+M2/100),2)</f>
        <v>41.3</v>
      </c>
      <c r="M1235" s="22">
        <f>ROUND(K1235*L1235,2)</f>
        <v>578.20000000000005</v>
      </c>
      <c r="N1235" s="8"/>
    </row>
    <row r="1236" spans="1:14" ht="12.2" customHeight="1" thickBot="1" x14ac:dyDescent="0.25">
      <c r="A1236" s="8"/>
      <c r="B1236" s="8"/>
      <c r="C1236" s="8"/>
      <c r="D1236" s="60" t="s">
        <v>2873</v>
      </c>
      <c r="E1236" s="60"/>
      <c r="F1236" s="60"/>
      <c r="G1236" s="60"/>
      <c r="H1236" s="60"/>
      <c r="I1236" s="60"/>
      <c r="J1236" s="60"/>
      <c r="K1236" s="60"/>
      <c r="L1236" s="60"/>
      <c r="M1236" s="60"/>
      <c r="N1236" s="8"/>
    </row>
    <row r="1237" spans="1:14" ht="15.4" customHeight="1" thickBot="1" x14ac:dyDescent="0.25">
      <c r="A1237" s="8"/>
      <c r="B1237" s="8"/>
      <c r="C1237" s="8"/>
      <c r="D1237" s="8"/>
      <c r="E1237" s="23"/>
      <c r="F1237" s="25" t="s">
        <v>2874</v>
      </c>
      <c r="G1237" s="25" t="s">
        <v>2875</v>
      </c>
      <c r="H1237" s="25" t="s">
        <v>2876</v>
      </c>
      <c r="I1237" s="25" t="s">
        <v>2877</v>
      </c>
      <c r="J1237" s="25" t="s">
        <v>2878</v>
      </c>
      <c r="K1237" s="25" t="s">
        <v>2879</v>
      </c>
      <c r="L1237" s="8"/>
      <c r="M1237" s="8"/>
      <c r="N1237" s="8"/>
    </row>
    <row r="1238" spans="1:14" ht="21.6" customHeight="1" thickBot="1" x14ac:dyDescent="0.25">
      <c r="A1238" s="8"/>
      <c r="B1238" s="8"/>
      <c r="C1238" s="8"/>
      <c r="D1238" s="26"/>
      <c r="E1238" s="27" t="s">
        <v>2880</v>
      </c>
      <c r="F1238" s="28">
        <v>14</v>
      </c>
      <c r="G1238" s="29"/>
      <c r="H1238" s="29"/>
      <c r="I1238" s="29"/>
      <c r="J1238" s="31">
        <f>ROUND(F1238,2)</f>
        <v>14</v>
      </c>
      <c r="K1238" s="33">
        <f>SUM(J1238:J1238)</f>
        <v>14</v>
      </c>
      <c r="L1238" s="8"/>
      <c r="M1238" s="8"/>
      <c r="N1238" s="8"/>
    </row>
    <row r="1239" spans="1:14" ht="15.4" customHeight="1" thickBot="1" x14ac:dyDescent="0.25">
      <c r="A1239" s="12" t="s">
        <v>2881</v>
      </c>
      <c r="B1239" s="6" t="s">
        <v>2882</v>
      </c>
      <c r="C1239" s="6" t="s">
        <v>2883</v>
      </c>
      <c r="D1239" s="60" t="s">
        <v>2884</v>
      </c>
      <c r="E1239" s="60"/>
      <c r="F1239" s="60"/>
      <c r="G1239" s="60"/>
      <c r="H1239" s="60"/>
      <c r="I1239" s="60"/>
      <c r="J1239" s="60"/>
      <c r="K1239" s="22">
        <f>SUM(K1242:K1243)</f>
        <v>16</v>
      </c>
      <c r="L1239" s="22">
        <f>ROUND(43.24*(1+M2/100),2)</f>
        <v>43.24</v>
      </c>
      <c r="M1239" s="22">
        <f>ROUND(K1239*L1239,2)</f>
        <v>691.84</v>
      </c>
      <c r="N1239" s="8"/>
    </row>
    <row r="1240" spans="1:14" ht="12.2" customHeight="1" thickBot="1" x14ac:dyDescent="0.25">
      <c r="A1240" s="8"/>
      <c r="B1240" s="8"/>
      <c r="C1240" s="8"/>
      <c r="D1240" s="60" t="s">
        <v>2885</v>
      </c>
      <c r="E1240" s="60"/>
      <c r="F1240" s="60"/>
      <c r="G1240" s="60"/>
      <c r="H1240" s="60"/>
      <c r="I1240" s="60"/>
      <c r="J1240" s="60"/>
      <c r="K1240" s="60"/>
      <c r="L1240" s="60"/>
      <c r="M1240" s="60"/>
      <c r="N1240" s="8"/>
    </row>
    <row r="1241" spans="1:14" ht="15.4" customHeight="1" thickBot="1" x14ac:dyDescent="0.25">
      <c r="A1241" s="8"/>
      <c r="B1241" s="8"/>
      <c r="C1241" s="8"/>
      <c r="D1241" s="8"/>
      <c r="E1241" s="23"/>
      <c r="F1241" s="25" t="s">
        <v>2886</v>
      </c>
      <c r="G1241" s="25" t="s">
        <v>2887</v>
      </c>
      <c r="H1241" s="25" t="s">
        <v>2888</v>
      </c>
      <c r="I1241" s="25" t="s">
        <v>2889</v>
      </c>
      <c r="J1241" s="25" t="s">
        <v>2890</v>
      </c>
      <c r="K1241" s="25" t="s">
        <v>2891</v>
      </c>
      <c r="L1241" s="8"/>
      <c r="M1241" s="8"/>
      <c r="N1241" s="8"/>
    </row>
    <row r="1242" spans="1:14" ht="21.6" customHeight="1" thickBot="1" x14ac:dyDescent="0.25">
      <c r="A1242" s="8"/>
      <c r="B1242" s="8"/>
      <c r="C1242" s="8"/>
      <c r="D1242" s="26"/>
      <c r="E1242" s="27" t="s">
        <v>2892</v>
      </c>
      <c r="F1242" s="28">
        <v>14</v>
      </c>
      <c r="G1242" s="29"/>
      <c r="H1242" s="29"/>
      <c r="I1242" s="29"/>
      <c r="J1242" s="31">
        <f>ROUND(F1242,2)</f>
        <v>14</v>
      </c>
      <c r="K1242" s="35"/>
      <c r="L1242" s="8"/>
      <c r="M1242" s="8"/>
      <c r="N1242" s="8"/>
    </row>
    <row r="1243" spans="1:14" ht="15.4" customHeight="1" thickBot="1" x14ac:dyDescent="0.25">
      <c r="A1243" s="8"/>
      <c r="B1243" s="8"/>
      <c r="C1243" s="8"/>
      <c r="D1243" s="26"/>
      <c r="E1243" s="6" t="s">
        <v>2893</v>
      </c>
      <c r="F1243" s="4">
        <v>2</v>
      </c>
      <c r="G1243" s="22"/>
      <c r="H1243" s="22"/>
      <c r="I1243" s="22"/>
      <c r="J1243" s="30">
        <f>ROUND(F1243,2)</f>
        <v>2</v>
      </c>
      <c r="K1243" s="32">
        <f>SUM(J1242:J1243)</f>
        <v>16</v>
      </c>
      <c r="L1243" s="8"/>
      <c r="M1243" s="8"/>
      <c r="N1243" s="8"/>
    </row>
    <row r="1244" spans="1:14" ht="15.4" customHeight="1" thickBot="1" x14ac:dyDescent="0.25">
      <c r="A1244" s="12" t="s">
        <v>2894</v>
      </c>
      <c r="B1244" s="6" t="s">
        <v>2895</v>
      </c>
      <c r="C1244" s="6" t="s">
        <v>2896</v>
      </c>
      <c r="D1244" s="60" t="s">
        <v>2897</v>
      </c>
      <c r="E1244" s="60"/>
      <c r="F1244" s="60"/>
      <c r="G1244" s="60"/>
      <c r="H1244" s="60"/>
      <c r="I1244" s="60"/>
      <c r="J1244" s="60"/>
      <c r="K1244" s="22">
        <f>SUM(K1247:K1247)</f>
        <v>2</v>
      </c>
      <c r="L1244" s="22">
        <f>ROUND(42.83*(1+M2/100),2)</f>
        <v>42.83</v>
      </c>
      <c r="M1244" s="22">
        <f>ROUND(K1244*L1244,2)</f>
        <v>85.66</v>
      </c>
      <c r="N1244" s="8"/>
    </row>
    <row r="1245" spans="1:14" ht="12.2" customHeight="1" thickBot="1" x14ac:dyDescent="0.25">
      <c r="A1245" s="8"/>
      <c r="B1245" s="8"/>
      <c r="C1245" s="8"/>
      <c r="D1245" s="60" t="s">
        <v>2898</v>
      </c>
      <c r="E1245" s="60"/>
      <c r="F1245" s="60"/>
      <c r="G1245" s="60"/>
      <c r="H1245" s="60"/>
      <c r="I1245" s="60"/>
      <c r="J1245" s="60"/>
      <c r="K1245" s="60"/>
      <c r="L1245" s="60"/>
      <c r="M1245" s="60"/>
      <c r="N1245" s="8"/>
    </row>
    <row r="1246" spans="1:14" ht="15.4" customHeight="1" thickBot="1" x14ac:dyDescent="0.25">
      <c r="A1246" s="8"/>
      <c r="B1246" s="8"/>
      <c r="C1246" s="8"/>
      <c r="D1246" s="8"/>
      <c r="E1246" s="23"/>
      <c r="F1246" s="25" t="s">
        <v>2899</v>
      </c>
      <c r="G1246" s="25" t="s">
        <v>2900</v>
      </c>
      <c r="H1246" s="25" t="s">
        <v>2901</v>
      </c>
      <c r="I1246" s="25" t="s">
        <v>2902</v>
      </c>
      <c r="J1246" s="25" t="s">
        <v>2903</v>
      </c>
      <c r="K1246" s="25" t="s">
        <v>2904</v>
      </c>
      <c r="L1246" s="8"/>
      <c r="M1246" s="8"/>
      <c r="N1246" s="8"/>
    </row>
    <row r="1247" spans="1:14" ht="15.4" customHeight="1" thickBot="1" x14ac:dyDescent="0.25">
      <c r="A1247" s="8"/>
      <c r="B1247" s="8"/>
      <c r="C1247" s="8"/>
      <c r="D1247" s="26"/>
      <c r="E1247" s="27" t="s">
        <v>2905</v>
      </c>
      <c r="F1247" s="28">
        <v>2</v>
      </c>
      <c r="G1247" s="29"/>
      <c r="H1247" s="29"/>
      <c r="I1247" s="29"/>
      <c r="J1247" s="31">
        <f>ROUND(F1247,2)</f>
        <v>2</v>
      </c>
      <c r="K1247" s="33">
        <f>SUM(J1247:J1247)</f>
        <v>2</v>
      </c>
      <c r="L1247" s="8"/>
      <c r="M1247" s="8"/>
      <c r="N1247" s="8"/>
    </row>
    <row r="1248" spans="1:14" ht="15.4" customHeight="1" thickBot="1" x14ac:dyDescent="0.25">
      <c r="A1248" s="12" t="s">
        <v>2906</v>
      </c>
      <c r="B1248" s="6" t="s">
        <v>2907</v>
      </c>
      <c r="C1248" s="6" t="s">
        <v>2908</v>
      </c>
      <c r="D1248" s="60" t="s">
        <v>2909</v>
      </c>
      <c r="E1248" s="60"/>
      <c r="F1248" s="60"/>
      <c r="G1248" s="60"/>
      <c r="H1248" s="60"/>
      <c r="I1248" s="60"/>
      <c r="J1248" s="60"/>
      <c r="K1248" s="22">
        <f>SUM(K1251:K1251)</f>
        <v>3</v>
      </c>
      <c r="L1248" s="22">
        <f>ROUND(58.64*(1+M2/100),2)</f>
        <v>58.64</v>
      </c>
      <c r="M1248" s="22">
        <f>ROUND(K1248*L1248,2)</f>
        <v>175.92</v>
      </c>
      <c r="N1248" s="8"/>
    </row>
    <row r="1249" spans="1:14" ht="12.2" customHeight="1" thickBot="1" x14ac:dyDescent="0.25">
      <c r="A1249" s="8"/>
      <c r="B1249" s="8"/>
      <c r="C1249" s="8"/>
      <c r="D1249" s="60" t="s">
        <v>2910</v>
      </c>
      <c r="E1249" s="60"/>
      <c r="F1249" s="60"/>
      <c r="G1249" s="60"/>
      <c r="H1249" s="60"/>
      <c r="I1249" s="60"/>
      <c r="J1249" s="60"/>
      <c r="K1249" s="60"/>
      <c r="L1249" s="60"/>
      <c r="M1249" s="60"/>
      <c r="N1249" s="8"/>
    </row>
    <row r="1250" spans="1:14" ht="15.4" customHeight="1" thickBot="1" x14ac:dyDescent="0.25">
      <c r="A1250" s="8"/>
      <c r="B1250" s="8"/>
      <c r="C1250" s="8"/>
      <c r="D1250" s="8"/>
      <c r="E1250" s="23"/>
      <c r="F1250" s="25" t="s">
        <v>2911</v>
      </c>
      <c r="G1250" s="25" t="s">
        <v>2912</v>
      </c>
      <c r="H1250" s="25" t="s">
        <v>2913</v>
      </c>
      <c r="I1250" s="25" t="s">
        <v>2914</v>
      </c>
      <c r="J1250" s="25" t="s">
        <v>2915</v>
      </c>
      <c r="K1250" s="25" t="s">
        <v>2916</v>
      </c>
      <c r="L1250" s="8"/>
      <c r="M1250" s="8"/>
      <c r="N1250" s="8"/>
    </row>
    <row r="1251" spans="1:14" ht="15.4" customHeight="1" thickBot="1" x14ac:dyDescent="0.25">
      <c r="A1251" s="8"/>
      <c r="B1251" s="8"/>
      <c r="C1251" s="8"/>
      <c r="D1251" s="26"/>
      <c r="E1251" s="27" t="s">
        <v>2917</v>
      </c>
      <c r="F1251" s="28">
        <v>3</v>
      </c>
      <c r="G1251" s="29"/>
      <c r="H1251" s="29"/>
      <c r="I1251" s="29"/>
      <c r="J1251" s="31">
        <f>ROUND(F1251,2)</f>
        <v>3</v>
      </c>
      <c r="K1251" s="33">
        <f>SUM(J1251:J1251)</f>
        <v>3</v>
      </c>
      <c r="L1251" s="8"/>
      <c r="M1251" s="8"/>
      <c r="N1251" s="8"/>
    </row>
    <row r="1252" spans="1:14" ht="15.4" customHeight="1" thickBot="1" x14ac:dyDescent="0.25">
      <c r="A1252" s="12" t="s">
        <v>2918</v>
      </c>
      <c r="B1252" s="6" t="s">
        <v>2919</v>
      </c>
      <c r="C1252" s="6" t="s">
        <v>2920</v>
      </c>
      <c r="D1252" s="60" t="s">
        <v>2921</v>
      </c>
      <c r="E1252" s="60"/>
      <c r="F1252" s="60"/>
      <c r="G1252" s="60"/>
      <c r="H1252" s="60"/>
      <c r="I1252" s="60"/>
      <c r="J1252" s="60"/>
      <c r="K1252" s="22">
        <f>SUM(K1255:K1257)</f>
        <v>10</v>
      </c>
      <c r="L1252" s="22">
        <f>ROUND(28.96*(1+M2/100),2)</f>
        <v>28.96</v>
      </c>
      <c r="M1252" s="22">
        <f>ROUND(K1252*L1252,2)</f>
        <v>289.60000000000002</v>
      </c>
      <c r="N1252" s="8"/>
    </row>
    <row r="1253" spans="1:14" ht="21.6" customHeight="1" thickBot="1" x14ac:dyDescent="0.25">
      <c r="A1253" s="8"/>
      <c r="B1253" s="8"/>
      <c r="C1253" s="8"/>
      <c r="D1253" s="60" t="s">
        <v>2922</v>
      </c>
      <c r="E1253" s="60"/>
      <c r="F1253" s="60"/>
      <c r="G1253" s="60"/>
      <c r="H1253" s="60"/>
      <c r="I1253" s="60"/>
      <c r="J1253" s="60"/>
      <c r="K1253" s="60"/>
      <c r="L1253" s="60"/>
      <c r="M1253" s="60"/>
      <c r="N1253" s="8"/>
    </row>
    <row r="1254" spans="1:14" ht="15.4" customHeight="1" thickBot="1" x14ac:dyDescent="0.25">
      <c r="A1254" s="8"/>
      <c r="B1254" s="8"/>
      <c r="C1254" s="8"/>
      <c r="D1254" s="8"/>
      <c r="E1254" s="23"/>
      <c r="F1254" s="25" t="s">
        <v>2923</v>
      </c>
      <c r="G1254" s="25" t="s">
        <v>2924</v>
      </c>
      <c r="H1254" s="25" t="s">
        <v>2925</v>
      </c>
      <c r="I1254" s="25" t="s">
        <v>2926</v>
      </c>
      <c r="J1254" s="25" t="s">
        <v>2927</v>
      </c>
      <c r="K1254" s="25" t="s">
        <v>2928</v>
      </c>
      <c r="L1254" s="8"/>
      <c r="M1254" s="8"/>
      <c r="N1254" s="8"/>
    </row>
    <row r="1255" spans="1:14" ht="15.4" customHeight="1" thickBot="1" x14ac:dyDescent="0.25">
      <c r="A1255" s="8"/>
      <c r="B1255" s="8"/>
      <c r="C1255" s="8"/>
      <c r="D1255" s="26"/>
      <c r="E1255" s="27" t="s">
        <v>2929</v>
      </c>
      <c r="F1255" s="28">
        <v>2</v>
      </c>
      <c r="G1255" s="29"/>
      <c r="H1255" s="29"/>
      <c r="I1255" s="29"/>
      <c r="J1255" s="31">
        <f>ROUND(F1255,2)</f>
        <v>2</v>
      </c>
      <c r="K1255" s="35"/>
      <c r="L1255" s="8"/>
      <c r="M1255" s="8"/>
      <c r="N1255" s="8"/>
    </row>
    <row r="1256" spans="1:14" ht="21.6" customHeight="1" thickBot="1" x14ac:dyDescent="0.25">
      <c r="A1256" s="8"/>
      <c r="B1256" s="8"/>
      <c r="C1256" s="8"/>
      <c r="D1256" s="26"/>
      <c r="E1256" s="6" t="s">
        <v>2930</v>
      </c>
      <c r="F1256" s="4">
        <v>1</v>
      </c>
      <c r="G1256" s="22"/>
      <c r="H1256" s="22"/>
      <c r="I1256" s="22"/>
      <c r="J1256" s="30">
        <f>ROUND(F1256,2)</f>
        <v>1</v>
      </c>
      <c r="K1256" s="8"/>
      <c r="L1256" s="8"/>
      <c r="M1256" s="8"/>
      <c r="N1256" s="8"/>
    </row>
    <row r="1257" spans="1:14" ht="15.4" customHeight="1" thickBot="1" x14ac:dyDescent="0.25">
      <c r="A1257" s="8"/>
      <c r="B1257" s="8"/>
      <c r="C1257" s="8"/>
      <c r="D1257" s="26"/>
      <c r="E1257" s="6" t="s">
        <v>2931</v>
      </c>
      <c r="F1257" s="4">
        <v>7</v>
      </c>
      <c r="G1257" s="22"/>
      <c r="H1257" s="22"/>
      <c r="I1257" s="22"/>
      <c r="J1257" s="30">
        <f>ROUND(F1257,2)</f>
        <v>7</v>
      </c>
      <c r="K1257" s="32">
        <f>SUM(J1255:J1257)</f>
        <v>10</v>
      </c>
      <c r="L1257" s="8"/>
      <c r="M1257" s="8"/>
      <c r="N1257" s="8"/>
    </row>
    <row r="1258" spans="1:14" ht="15.4" customHeight="1" thickBot="1" x14ac:dyDescent="0.25">
      <c r="A1258" s="12" t="s">
        <v>2932</v>
      </c>
      <c r="B1258" s="6" t="s">
        <v>2933</v>
      </c>
      <c r="C1258" s="6" t="s">
        <v>2934</v>
      </c>
      <c r="D1258" s="60" t="s">
        <v>2935</v>
      </c>
      <c r="E1258" s="60"/>
      <c r="F1258" s="60"/>
      <c r="G1258" s="60"/>
      <c r="H1258" s="60"/>
      <c r="I1258" s="60"/>
      <c r="J1258" s="60"/>
      <c r="K1258" s="22">
        <f>SUM(K1261:K1261)</f>
        <v>2</v>
      </c>
      <c r="L1258" s="22">
        <f>ROUND(2390.44*(1+M2/100),2)</f>
        <v>2390.44</v>
      </c>
      <c r="M1258" s="22">
        <f>ROUND(K1258*L1258,2)</f>
        <v>4780.88</v>
      </c>
      <c r="N1258" s="8"/>
    </row>
    <row r="1259" spans="1:14" ht="12.2" customHeight="1" thickBot="1" x14ac:dyDescent="0.25">
      <c r="A1259" s="8"/>
      <c r="B1259" s="8"/>
      <c r="C1259" s="8"/>
      <c r="D1259" s="60" t="s">
        <v>2936</v>
      </c>
      <c r="E1259" s="60"/>
      <c r="F1259" s="60"/>
      <c r="G1259" s="60"/>
      <c r="H1259" s="60"/>
      <c r="I1259" s="60"/>
      <c r="J1259" s="60"/>
      <c r="K1259" s="60"/>
      <c r="L1259" s="60"/>
      <c r="M1259" s="60"/>
      <c r="N1259" s="8"/>
    </row>
    <row r="1260" spans="1:14" ht="15.4" customHeight="1" thickBot="1" x14ac:dyDescent="0.25">
      <c r="A1260" s="8"/>
      <c r="B1260" s="8"/>
      <c r="C1260" s="8"/>
      <c r="D1260" s="8"/>
      <c r="E1260" s="23"/>
      <c r="F1260" s="25" t="s">
        <v>2937</v>
      </c>
      <c r="G1260" s="25" t="s">
        <v>2938</v>
      </c>
      <c r="H1260" s="25" t="s">
        <v>2939</v>
      </c>
      <c r="I1260" s="25" t="s">
        <v>2940</v>
      </c>
      <c r="J1260" s="25" t="s">
        <v>2941</v>
      </c>
      <c r="K1260" s="25" t="s">
        <v>2942</v>
      </c>
      <c r="L1260" s="8"/>
      <c r="M1260" s="8"/>
      <c r="N1260" s="8"/>
    </row>
    <row r="1261" spans="1:14" ht="15.4" customHeight="1" thickBot="1" x14ac:dyDescent="0.25">
      <c r="A1261" s="8"/>
      <c r="B1261" s="8"/>
      <c r="C1261" s="8"/>
      <c r="D1261" s="26"/>
      <c r="E1261" s="27" t="s">
        <v>2943</v>
      </c>
      <c r="F1261" s="28">
        <v>2</v>
      </c>
      <c r="G1261" s="29"/>
      <c r="H1261" s="29"/>
      <c r="I1261" s="29"/>
      <c r="J1261" s="31">
        <f>ROUND(F1261,2)</f>
        <v>2</v>
      </c>
      <c r="K1261" s="33">
        <f>SUM(J1261:J1261)</f>
        <v>2</v>
      </c>
      <c r="L1261" s="8"/>
      <c r="M1261" s="8"/>
      <c r="N1261" s="8"/>
    </row>
    <row r="1262" spans="1:14" ht="15.4" customHeight="1" thickBot="1" x14ac:dyDescent="0.25">
      <c r="A1262" s="12" t="s">
        <v>2944</v>
      </c>
      <c r="B1262" s="6" t="s">
        <v>2945</v>
      </c>
      <c r="C1262" s="6" t="s">
        <v>2946</v>
      </c>
      <c r="D1262" s="60" t="s">
        <v>2947</v>
      </c>
      <c r="E1262" s="60"/>
      <c r="F1262" s="60"/>
      <c r="G1262" s="60"/>
      <c r="H1262" s="60"/>
      <c r="I1262" s="60"/>
      <c r="J1262" s="60"/>
      <c r="K1262" s="22">
        <f>SUM(K1265:K1265)</f>
        <v>2</v>
      </c>
      <c r="L1262" s="22">
        <f>ROUND(1015.39*(1+M2/100),2)</f>
        <v>1015.39</v>
      </c>
      <c r="M1262" s="22">
        <f>ROUND(K1262*L1262,2)</f>
        <v>2030.78</v>
      </c>
      <c r="N1262" s="8"/>
    </row>
    <row r="1263" spans="1:14" ht="12.2" customHeight="1" thickBot="1" x14ac:dyDescent="0.25">
      <c r="A1263" s="8"/>
      <c r="B1263" s="8"/>
      <c r="C1263" s="8"/>
      <c r="D1263" s="60" t="s">
        <v>2948</v>
      </c>
      <c r="E1263" s="60"/>
      <c r="F1263" s="60"/>
      <c r="G1263" s="60"/>
      <c r="H1263" s="60"/>
      <c r="I1263" s="60"/>
      <c r="J1263" s="60"/>
      <c r="K1263" s="60"/>
      <c r="L1263" s="60"/>
      <c r="M1263" s="60"/>
      <c r="N1263" s="8"/>
    </row>
    <row r="1264" spans="1:14" ht="15.4" customHeight="1" thickBot="1" x14ac:dyDescent="0.25">
      <c r="A1264" s="8"/>
      <c r="B1264" s="8"/>
      <c r="C1264" s="8"/>
      <c r="D1264" s="8"/>
      <c r="E1264" s="23"/>
      <c r="F1264" s="25" t="s">
        <v>2949</v>
      </c>
      <c r="G1264" s="25" t="s">
        <v>2950</v>
      </c>
      <c r="H1264" s="25" t="s">
        <v>2951</v>
      </c>
      <c r="I1264" s="25" t="s">
        <v>2952</v>
      </c>
      <c r="J1264" s="25" t="s">
        <v>2953</v>
      </c>
      <c r="K1264" s="25" t="s">
        <v>2954</v>
      </c>
      <c r="L1264" s="8"/>
      <c r="M1264" s="8"/>
      <c r="N1264" s="8"/>
    </row>
    <row r="1265" spans="1:14" ht="15.4" customHeight="1" thickBot="1" x14ac:dyDescent="0.25">
      <c r="A1265" s="8"/>
      <c r="B1265" s="8"/>
      <c r="C1265" s="8"/>
      <c r="D1265" s="26"/>
      <c r="E1265" s="27" t="s">
        <v>2955</v>
      </c>
      <c r="F1265" s="28">
        <v>2</v>
      </c>
      <c r="G1265" s="29"/>
      <c r="H1265" s="29"/>
      <c r="I1265" s="29"/>
      <c r="J1265" s="31">
        <f>ROUND(F1265,2)</f>
        <v>2</v>
      </c>
      <c r="K1265" s="33">
        <f>SUM(J1265:J1265)</f>
        <v>2</v>
      </c>
      <c r="L1265" s="8"/>
      <c r="M1265" s="8"/>
      <c r="N1265" s="8"/>
    </row>
    <row r="1266" spans="1:14" ht="15.4" customHeight="1" thickBot="1" x14ac:dyDescent="0.25">
      <c r="A1266" s="12" t="s">
        <v>2956</v>
      </c>
      <c r="B1266" s="6" t="s">
        <v>2957</v>
      </c>
      <c r="C1266" s="6" t="s">
        <v>2958</v>
      </c>
      <c r="D1266" s="60" t="s">
        <v>2959</v>
      </c>
      <c r="E1266" s="60"/>
      <c r="F1266" s="60"/>
      <c r="G1266" s="60"/>
      <c r="H1266" s="60"/>
      <c r="I1266" s="60"/>
      <c r="J1266" s="60"/>
      <c r="K1266" s="22">
        <f>SUM(K1269:K1269)</f>
        <v>7</v>
      </c>
      <c r="L1266" s="22">
        <f>ROUND(234.68*(1+M2/100),2)</f>
        <v>234.68</v>
      </c>
      <c r="M1266" s="22">
        <f>ROUND(K1266*L1266,2)</f>
        <v>1642.76</v>
      </c>
      <c r="N1266" s="8"/>
    </row>
    <row r="1267" spans="1:14" ht="21.6" customHeight="1" thickBot="1" x14ac:dyDescent="0.25">
      <c r="A1267" s="8"/>
      <c r="B1267" s="8"/>
      <c r="C1267" s="8"/>
      <c r="D1267" s="60" t="s">
        <v>2960</v>
      </c>
      <c r="E1267" s="60"/>
      <c r="F1267" s="60"/>
      <c r="G1267" s="60"/>
      <c r="H1267" s="60"/>
      <c r="I1267" s="60"/>
      <c r="J1267" s="60"/>
      <c r="K1267" s="60"/>
      <c r="L1267" s="60"/>
      <c r="M1267" s="60"/>
      <c r="N1267" s="8"/>
    </row>
    <row r="1268" spans="1:14" ht="15.4" customHeight="1" thickBot="1" x14ac:dyDescent="0.25">
      <c r="A1268" s="8"/>
      <c r="B1268" s="8"/>
      <c r="C1268" s="8"/>
      <c r="D1268" s="8"/>
      <c r="E1268" s="23"/>
      <c r="F1268" s="25" t="s">
        <v>2961</v>
      </c>
      <c r="G1268" s="25" t="s">
        <v>2962</v>
      </c>
      <c r="H1268" s="25" t="s">
        <v>2963</v>
      </c>
      <c r="I1268" s="25" t="s">
        <v>2964</v>
      </c>
      <c r="J1268" s="25" t="s">
        <v>2965</v>
      </c>
      <c r="K1268" s="25" t="s">
        <v>2966</v>
      </c>
      <c r="L1268" s="8"/>
      <c r="M1268" s="8"/>
      <c r="N1268" s="8"/>
    </row>
    <row r="1269" spans="1:14" ht="15.4" customHeight="1" thickBot="1" x14ac:dyDescent="0.25">
      <c r="A1269" s="8"/>
      <c r="B1269" s="8"/>
      <c r="C1269" s="8"/>
      <c r="D1269" s="26"/>
      <c r="E1269" s="27" t="s">
        <v>2967</v>
      </c>
      <c r="F1269" s="28">
        <v>7</v>
      </c>
      <c r="G1269" s="29"/>
      <c r="H1269" s="29"/>
      <c r="I1269" s="29"/>
      <c r="J1269" s="31">
        <f>ROUND(F1269,2)</f>
        <v>7</v>
      </c>
      <c r="K1269" s="33">
        <f>SUM(J1269:J1269)</f>
        <v>7</v>
      </c>
      <c r="L1269" s="8"/>
      <c r="M1269" s="8"/>
      <c r="N1269" s="8"/>
    </row>
    <row r="1270" spans="1:14" ht="15.4" customHeight="1" thickBot="1" x14ac:dyDescent="0.25">
      <c r="A1270" s="12" t="s">
        <v>2968</v>
      </c>
      <c r="B1270" s="6" t="s">
        <v>2969</v>
      </c>
      <c r="C1270" s="6" t="s">
        <v>2970</v>
      </c>
      <c r="D1270" s="60" t="s">
        <v>2971</v>
      </c>
      <c r="E1270" s="60"/>
      <c r="F1270" s="60"/>
      <c r="G1270" s="60"/>
      <c r="H1270" s="60"/>
      <c r="I1270" s="60"/>
      <c r="J1270" s="60"/>
      <c r="K1270" s="22">
        <f>SUM(K1273:K1273)</f>
        <v>7</v>
      </c>
      <c r="L1270" s="22">
        <f>ROUND(118.37*(1+M2/100),2)</f>
        <v>118.37</v>
      </c>
      <c r="M1270" s="22">
        <f>ROUND(K1270*L1270,2)</f>
        <v>828.59</v>
      </c>
      <c r="N1270" s="8"/>
    </row>
    <row r="1271" spans="1:14" ht="12.2" customHeight="1" thickBot="1" x14ac:dyDescent="0.25">
      <c r="A1271" s="8"/>
      <c r="B1271" s="8"/>
      <c r="C1271" s="8"/>
      <c r="D1271" s="60" t="s">
        <v>2972</v>
      </c>
      <c r="E1271" s="60"/>
      <c r="F1271" s="60"/>
      <c r="G1271" s="60"/>
      <c r="H1271" s="60"/>
      <c r="I1271" s="60"/>
      <c r="J1271" s="60"/>
      <c r="K1271" s="60"/>
      <c r="L1271" s="60"/>
      <c r="M1271" s="60"/>
      <c r="N1271" s="8"/>
    </row>
    <row r="1272" spans="1:14" ht="15.4" customHeight="1" thickBot="1" x14ac:dyDescent="0.25">
      <c r="A1272" s="8"/>
      <c r="B1272" s="8"/>
      <c r="C1272" s="8"/>
      <c r="D1272" s="8"/>
      <c r="E1272" s="23"/>
      <c r="F1272" s="25" t="s">
        <v>2973</v>
      </c>
      <c r="G1272" s="25" t="s">
        <v>2974</v>
      </c>
      <c r="H1272" s="25" t="s">
        <v>2975</v>
      </c>
      <c r="I1272" s="25" t="s">
        <v>2976</v>
      </c>
      <c r="J1272" s="25" t="s">
        <v>2977</v>
      </c>
      <c r="K1272" s="25" t="s">
        <v>2978</v>
      </c>
      <c r="L1272" s="8"/>
      <c r="M1272" s="8"/>
      <c r="N1272" s="8"/>
    </row>
    <row r="1273" spans="1:14" ht="15.4" customHeight="1" thickBot="1" x14ac:dyDescent="0.25">
      <c r="A1273" s="8"/>
      <c r="B1273" s="8"/>
      <c r="C1273" s="8"/>
      <c r="D1273" s="26"/>
      <c r="E1273" s="27" t="s">
        <v>2979</v>
      </c>
      <c r="F1273" s="28">
        <v>7</v>
      </c>
      <c r="G1273" s="29"/>
      <c r="H1273" s="29"/>
      <c r="I1273" s="29"/>
      <c r="J1273" s="31">
        <f>ROUND(F1273,2)</f>
        <v>7</v>
      </c>
      <c r="K1273" s="33">
        <f>SUM(J1273:J1273)</f>
        <v>7</v>
      </c>
      <c r="L1273" s="8"/>
      <c r="M1273" s="8"/>
      <c r="N1273" s="8"/>
    </row>
    <row r="1274" spans="1:14" ht="15.4" customHeight="1" thickBot="1" x14ac:dyDescent="0.25">
      <c r="A1274" s="12" t="s">
        <v>2980</v>
      </c>
      <c r="B1274" s="6" t="s">
        <v>2981</v>
      </c>
      <c r="C1274" s="6" t="s">
        <v>2982</v>
      </c>
      <c r="D1274" s="60" t="s">
        <v>2983</v>
      </c>
      <c r="E1274" s="60"/>
      <c r="F1274" s="60"/>
      <c r="G1274" s="60"/>
      <c r="H1274" s="60"/>
      <c r="I1274" s="60"/>
      <c r="J1274" s="60"/>
      <c r="K1274" s="22">
        <f>SUM(K1277:K1277)</f>
        <v>1</v>
      </c>
      <c r="L1274" s="22">
        <f>ROUND(128.46*(1+M2/100),2)</f>
        <v>128.46</v>
      </c>
      <c r="M1274" s="22">
        <f>ROUND(K1274*L1274,2)</f>
        <v>128.46</v>
      </c>
      <c r="N1274" s="8"/>
    </row>
    <row r="1275" spans="1:14" ht="21.6" customHeight="1" thickBot="1" x14ac:dyDescent="0.25">
      <c r="A1275" s="8"/>
      <c r="B1275" s="8"/>
      <c r="C1275" s="8"/>
      <c r="D1275" s="60" t="s">
        <v>2984</v>
      </c>
      <c r="E1275" s="60"/>
      <c r="F1275" s="60"/>
      <c r="G1275" s="60"/>
      <c r="H1275" s="60"/>
      <c r="I1275" s="60"/>
      <c r="J1275" s="60"/>
      <c r="K1275" s="60"/>
      <c r="L1275" s="60"/>
      <c r="M1275" s="60"/>
      <c r="N1275" s="8"/>
    </row>
    <row r="1276" spans="1:14" ht="15.4" customHeight="1" thickBot="1" x14ac:dyDescent="0.25">
      <c r="A1276" s="8"/>
      <c r="B1276" s="8"/>
      <c r="C1276" s="8"/>
      <c r="D1276" s="8"/>
      <c r="E1276" s="23"/>
      <c r="F1276" s="25" t="s">
        <v>2985</v>
      </c>
      <c r="G1276" s="25" t="s">
        <v>2986</v>
      </c>
      <c r="H1276" s="25" t="s">
        <v>2987</v>
      </c>
      <c r="I1276" s="25" t="s">
        <v>2988</v>
      </c>
      <c r="J1276" s="25" t="s">
        <v>2989</v>
      </c>
      <c r="K1276" s="25" t="s">
        <v>2990</v>
      </c>
      <c r="L1276" s="8"/>
      <c r="M1276" s="8"/>
      <c r="N1276" s="8"/>
    </row>
    <row r="1277" spans="1:14" ht="15.4" customHeight="1" thickBot="1" x14ac:dyDescent="0.25">
      <c r="A1277" s="8"/>
      <c r="B1277" s="8"/>
      <c r="C1277" s="8"/>
      <c r="D1277" s="26"/>
      <c r="E1277" s="27"/>
      <c r="F1277" s="28">
        <v>1</v>
      </c>
      <c r="G1277" s="29"/>
      <c r="H1277" s="29"/>
      <c r="I1277" s="29"/>
      <c r="J1277" s="31">
        <f>ROUND(F1277,2)</f>
        <v>1</v>
      </c>
      <c r="K1277" s="33">
        <f>SUM(J1277:J1277)</f>
        <v>1</v>
      </c>
      <c r="L1277" s="8"/>
      <c r="M1277" s="8"/>
      <c r="N1277" s="8"/>
    </row>
    <row r="1278" spans="1:14" ht="15.4" customHeight="1" thickBot="1" x14ac:dyDescent="0.25">
      <c r="A1278" s="12" t="s">
        <v>2991</v>
      </c>
      <c r="B1278" s="6" t="s">
        <v>2992</v>
      </c>
      <c r="C1278" s="6" t="s">
        <v>2993</v>
      </c>
      <c r="D1278" s="60" t="s">
        <v>2994</v>
      </c>
      <c r="E1278" s="60"/>
      <c r="F1278" s="60"/>
      <c r="G1278" s="60"/>
      <c r="H1278" s="60"/>
      <c r="I1278" s="60"/>
      <c r="J1278" s="60"/>
      <c r="K1278" s="22">
        <f>SUM(K1281:K1282)</f>
        <v>8</v>
      </c>
      <c r="L1278" s="22">
        <f>ROUND(139.62*(1+M2/100),2)</f>
        <v>139.62</v>
      </c>
      <c r="M1278" s="22">
        <f>ROUND(K1278*L1278,2)</f>
        <v>1116.96</v>
      </c>
      <c r="N1278" s="8"/>
    </row>
    <row r="1279" spans="1:14" ht="30.95" customHeight="1" thickBot="1" x14ac:dyDescent="0.25">
      <c r="A1279" s="8"/>
      <c r="B1279" s="8"/>
      <c r="C1279" s="8"/>
      <c r="D1279" s="60" t="s">
        <v>2995</v>
      </c>
      <c r="E1279" s="60"/>
      <c r="F1279" s="60"/>
      <c r="G1279" s="60"/>
      <c r="H1279" s="60"/>
      <c r="I1279" s="60"/>
      <c r="J1279" s="60"/>
      <c r="K1279" s="60"/>
      <c r="L1279" s="60"/>
      <c r="M1279" s="60"/>
      <c r="N1279" s="8"/>
    </row>
    <row r="1280" spans="1:14" ht="15.4" customHeight="1" thickBot="1" x14ac:dyDescent="0.25">
      <c r="A1280" s="8"/>
      <c r="B1280" s="8"/>
      <c r="C1280" s="8"/>
      <c r="D1280" s="8"/>
      <c r="E1280" s="23"/>
      <c r="F1280" s="25" t="s">
        <v>2996</v>
      </c>
      <c r="G1280" s="25" t="s">
        <v>2997</v>
      </c>
      <c r="H1280" s="25" t="s">
        <v>2998</v>
      </c>
      <c r="I1280" s="25" t="s">
        <v>2999</v>
      </c>
      <c r="J1280" s="25" t="s">
        <v>3000</v>
      </c>
      <c r="K1280" s="25" t="s">
        <v>3001</v>
      </c>
      <c r="L1280" s="8"/>
      <c r="M1280" s="8"/>
      <c r="N1280" s="8"/>
    </row>
    <row r="1281" spans="1:14" ht="15.4" customHeight="1" thickBot="1" x14ac:dyDescent="0.25">
      <c r="A1281" s="8"/>
      <c r="B1281" s="8"/>
      <c r="C1281" s="8"/>
      <c r="D1281" s="26"/>
      <c r="E1281" s="27" t="s">
        <v>3002</v>
      </c>
      <c r="F1281" s="28">
        <v>7</v>
      </c>
      <c r="G1281" s="29"/>
      <c r="H1281" s="29"/>
      <c r="I1281" s="29"/>
      <c r="J1281" s="31">
        <f>ROUND(F1281,2)</f>
        <v>7</v>
      </c>
      <c r="K1281" s="35"/>
      <c r="L1281" s="8"/>
      <c r="M1281" s="8"/>
      <c r="N1281" s="8"/>
    </row>
    <row r="1282" spans="1:14" ht="15.4" customHeight="1" thickBot="1" x14ac:dyDescent="0.25">
      <c r="A1282" s="8"/>
      <c r="B1282" s="8"/>
      <c r="C1282" s="8"/>
      <c r="D1282" s="26"/>
      <c r="E1282" s="6" t="s">
        <v>3003</v>
      </c>
      <c r="F1282" s="4">
        <v>1</v>
      </c>
      <c r="G1282" s="22"/>
      <c r="H1282" s="22"/>
      <c r="I1282" s="22"/>
      <c r="J1282" s="30">
        <f>ROUND(F1282,2)</f>
        <v>1</v>
      </c>
      <c r="K1282" s="32">
        <f>SUM(J1281:J1282)</f>
        <v>8</v>
      </c>
      <c r="L1282" s="8"/>
      <c r="M1282" s="8"/>
      <c r="N1282" s="8"/>
    </row>
    <row r="1283" spans="1:14" ht="15.4" customHeight="1" thickBot="1" x14ac:dyDescent="0.25">
      <c r="A1283" s="12" t="s">
        <v>3004</v>
      </c>
      <c r="B1283" s="6" t="s">
        <v>3005</v>
      </c>
      <c r="C1283" s="6" t="s">
        <v>3006</v>
      </c>
      <c r="D1283" s="60" t="s">
        <v>3007</v>
      </c>
      <c r="E1283" s="60"/>
      <c r="F1283" s="60"/>
      <c r="G1283" s="60"/>
      <c r="H1283" s="60"/>
      <c r="I1283" s="60"/>
      <c r="J1283" s="60"/>
      <c r="K1283" s="22">
        <f>SUM(K1286:K1286)</f>
        <v>6</v>
      </c>
      <c r="L1283" s="22">
        <f>ROUND(51.61*(1+M2/100),2)</f>
        <v>51.61</v>
      </c>
      <c r="M1283" s="22">
        <f>ROUND(K1283*L1283,2)</f>
        <v>309.66000000000003</v>
      </c>
      <c r="N1283" s="8"/>
    </row>
    <row r="1284" spans="1:14" ht="21.6" customHeight="1" thickBot="1" x14ac:dyDescent="0.25">
      <c r="A1284" s="8"/>
      <c r="B1284" s="8"/>
      <c r="C1284" s="8"/>
      <c r="D1284" s="60" t="s">
        <v>3008</v>
      </c>
      <c r="E1284" s="60"/>
      <c r="F1284" s="60"/>
      <c r="G1284" s="60"/>
      <c r="H1284" s="60"/>
      <c r="I1284" s="60"/>
      <c r="J1284" s="60"/>
      <c r="K1284" s="60"/>
      <c r="L1284" s="60"/>
      <c r="M1284" s="60"/>
      <c r="N1284" s="8"/>
    </row>
    <row r="1285" spans="1:14" ht="15.4" customHeight="1" thickBot="1" x14ac:dyDescent="0.25">
      <c r="A1285" s="8"/>
      <c r="B1285" s="8"/>
      <c r="C1285" s="8"/>
      <c r="D1285" s="8"/>
      <c r="E1285" s="23"/>
      <c r="F1285" s="25" t="s">
        <v>3009</v>
      </c>
      <c r="G1285" s="25" t="s">
        <v>3010</v>
      </c>
      <c r="H1285" s="25" t="s">
        <v>3011</v>
      </c>
      <c r="I1285" s="25" t="s">
        <v>3012</v>
      </c>
      <c r="J1285" s="25" t="s">
        <v>3013</v>
      </c>
      <c r="K1285" s="25" t="s">
        <v>3014</v>
      </c>
      <c r="L1285" s="8"/>
      <c r="M1285" s="8"/>
      <c r="N1285" s="8"/>
    </row>
    <row r="1286" spans="1:14" ht="15.4" customHeight="1" thickBot="1" x14ac:dyDescent="0.25">
      <c r="A1286" s="8"/>
      <c r="B1286" s="8"/>
      <c r="C1286" s="8"/>
      <c r="D1286" s="26"/>
      <c r="E1286" s="27"/>
      <c r="F1286" s="28">
        <v>6</v>
      </c>
      <c r="G1286" s="29"/>
      <c r="H1286" s="29"/>
      <c r="I1286" s="29"/>
      <c r="J1286" s="31">
        <f>ROUND(F1286,2)</f>
        <v>6</v>
      </c>
      <c r="K1286" s="33">
        <f>SUM(J1286:J1286)</f>
        <v>6</v>
      </c>
      <c r="L1286" s="8"/>
      <c r="M1286" s="8"/>
      <c r="N1286" s="8"/>
    </row>
    <row r="1287" spans="1:14" ht="15.4" customHeight="1" thickBot="1" x14ac:dyDescent="0.25">
      <c r="A1287" s="12" t="s">
        <v>3015</v>
      </c>
      <c r="B1287" s="6" t="s">
        <v>3016</v>
      </c>
      <c r="C1287" s="6" t="s">
        <v>3017</v>
      </c>
      <c r="D1287" s="60" t="s">
        <v>3018</v>
      </c>
      <c r="E1287" s="60"/>
      <c r="F1287" s="60"/>
      <c r="G1287" s="60"/>
      <c r="H1287" s="60"/>
      <c r="I1287" s="60"/>
      <c r="J1287" s="60"/>
      <c r="K1287" s="22">
        <f>SUM(K1290:K1290)</f>
        <v>2</v>
      </c>
      <c r="L1287" s="22">
        <f>ROUND(49.32*(1+M2/100),2)</f>
        <v>49.32</v>
      </c>
      <c r="M1287" s="22">
        <f>ROUND(K1287*L1287,2)</f>
        <v>98.64</v>
      </c>
      <c r="N1287" s="8"/>
    </row>
    <row r="1288" spans="1:14" ht="40.35" customHeight="1" thickBot="1" x14ac:dyDescent="0.25">
      <c r="A1288" s="8"/>
      <c r="B1288" s="8"/>
      <c r="C1288" s="8"/>
      <c r="D1288" s="60" t="s">
        <v>3019</v>
      </c>
      <c r="E1288" s="60"/>
      <c r="F1288" s="60"/>
      <c r="G1288" s="60"/>
      <c r="H1288" s="60"/>
      <c r="I1288" s="60"/>
      <c r="J1288" s="60"/>
      <c r="K1288" s="60"/>
      <c r="L1288" s="60"/>
      <c r="M1288" s="60"/>
      <c r="N1288" s="8"/>
    </row>
    <row r="1289" spans="1:14" ht="15.4" customHeight="1" thickBot="1" x14ac:dyDescent="0.25">
      <c r="A1289" s="8"/>
      <c r="B1289" s="8"/>
      <c r="C1289" s="8"/>
      <c r="D1289" s="8"/>
      <c r="E1289" s="23"/>
      <c r="F1289" s="25" t="s">
        <v>3020</v>
      </c>
      <c r="G1289" s="25" t="s">
        <v>3021</v>
      </c>
      <c r="H1289" s="25" t="s">
        <v>3022</v>
      </c>
      <c r="I1289" s="25" t="s">
        <v>3023</v>
      </c>
      <c r="J1289" s="25" t="s">
        <v>3024</v>
      </c>
      <c r="K1289" s="25" t="s">
        <v>3025</v>
      </c>
      <c r="L1289" s="8"/>
      <c r="M1289" s="8"/>
      <c r="N1289" s="8"/>
    </row>
    <row r="1290" spans="1:14" ht="15.4" customHeight="1" thickBot="1" x14ac:dyDescent="0.25">
      <c r="A1290" s="8"/>
      <c r="B1290" s="8"/>
      <c r="C1290" s="8"/>
      <c r="D1290" s="26"/>
      <c r="E1290" s="27" t="s">
        <v>3026</v>
      </c>
      <c r="F1290" s="28">
        <v>2</v>
      </c>
      <c r="G1290" s="29"/>
      <c r="H1290" s="29"/>
      <c r="I1290" s="29"/>
      <c r="J1290" s="31">
        <f>ROUND(F1290,2)</f>
        <v>2</v>
      </c>
      <c r="K1290" s="33">
        <f>SUM(J1290:J1290)</f>
        <v>2</v>
      </c>
      <c r="L1290" s="8"/>
      <c r="M1290" s="8"/>
      <c r="N1290" s="8"/>
    </row>
    <row r="1291" spans="1:14" ht="15.4" customHeight="1" thickBot="1" x14ac:dyDescent="0.25">
      <c r="A1291" s="12" t="s">
        <v>3027</v>
      </c>
      <c r="B1291" s="6" t="s">
        <v>3028</v>
      </c>
      <c r="C1291" s="6" t="s">
        <v>3029</v>
      </c>
      <c r="D1291" s="60" t="s">
        <v>3030</v>
      </c>
      <c r="E1291" s="60"/>
      <c r="F1291" s="60"/>
      <c r="G1291" s="60"/>
      <c r="H1291" s="60"/>
      <c r="I1291" s="60"/>
      <c r="J1291" s="60"/>
      <c r="K1291" s="22">
        <f>SUM(K1294:K1295)</f>
        <v>2</v>
      </c>
      <c r="L1291" s="22">
        <f>ROUND(100.44*(1+M2/100),2)</f>
        <v>100.44</v>
      </c>
      <c r="M1291" s="22">
        <f>ROUND(K1291*L1291,2)</f>
        <v>200.88</v>
      </c>
      <c r="N1291" s="8"/>
    </row>
    <row r="1292" spans="1:14" ht="49.7" customHeight="1" thickBot="1" x14ac:dyDescent="0.25">
      <c r="A1292" s="8"/>
      <c r="B1292" s="8"/>
      <c r="C1292" s="8"/>
      <c r="D1292" s="60" t="s">
        <v>3031</v>
      </c>
      <c r="E1292" s="60"/>
      <c r="F1292" s="60"/>
      <c r="G1292" s="60"/>
      <c r="H1292" s="60"/>
      <c r="I1292" s="60"/>
      <c r="J1292" s="60"/>
      <c r="K1292" s="60"/>
      <c r="L1292" s="60"/>
      <c r="M1292" s="60"/>
      <c r="N1292" s="8"/>
    </row>
    <row r="1293" spans="1:14" ht="15.4" customHeight="1" thickBot="1" x14ac:dyDescent="0.25">
      <c r="A1293" s="8"/>
      <c r="B1293" s="8"/>
      <c r="C1293" s="8"/>
      <c r="D1293" s="8"/>
      <c r="E1293" s="23"/>
      <c r="F1293" s="25" t="s">
        <v>3032</v>
      </c>
      <c r="G1293" s="25" t="s">
        <v>3033</v>
      </c>
      <c r="H1293" s="25" t="s">
        <v>3034</v>
      </c>
      <c r="I1293" s="25" t="s">
        <v>3035</v>
      </c>
      <c r="J1293" s="25" t="s">
        <v>3036</v>
      </c>
      <c r="K1293" s="25" t="s">
        <v>3037</v>
      </c>
      <c r="L1293" s="8"/>
      <c r="M1293" s="8"/>
      <c r="N1293" s="8"/>
    </row>
    <row r="1294" spans="1:14" ht="15.4" customHeight="1" thickBot="1" x14ac:dyDescent="0.25">
      <c r="A1294" s="8"/>
      <c r="B1294" s="8"/>
      <c r="C1294" s="8"/>
      <c r="D1294" s="26"/>
      <c r="E1294" s="27" t="s">
        <v>3038</v>
      </c>
      <c r="F1294" s="28">
        <v>1</v>
      </c>
      <c r="G1294" s="29"/>
      <c r="H1294" s="29"/>
      <c r="I1294" s="29"/>
      <c r="J1294" s="31">
        <f>ROUND(F1294,2)</f>
        <v>1</v>
      </c>
      <c r="K1294" s="35"/>
      <c r="L1294" s="8"/>
      <c r="M1294" s="8"/>
      <c r="N1294" s="8"/>
    </row>
    <row r="1295" spans="1:14" ht="15.4" customHeight="1" thickBot="1" x14ac:dyDescent="0.25">
      <c r="A1295" s="8"/>
      <c r="B1295" s="8"/>
      <c r="C1295" s="8"/>
      <c r="D1295" s="26"/>
      <c r="E1295" s="6" t="s">
        <v>3039</v>
      </c>
      <c r="F1295" s="4">
        <v>1</v>
      </c>
      <c r="G1295" s="22"/>
      <c r="H1295" s="22"/>
      <c r="I1295" s="22"/>
      <c r="J1295" s="30">
        <f>ROUND(F1295,2)</f>
        <v>1</v>
      </c>
      <c r="K1295" s="32">
        <f>SUM(J1294:J1295)</f>
        <v>2</v>
      </c>
      <c r="L1295" s="8"/>
      <c r="M1295" s="8"/>
      <c r="N1295" s="8"/>
    </row>
    <row r="1296" spans="1:14" ht="15.4" customHeight="1" thickBot="1" x14ac:dyDescent="0.25">
      <c r="A1296" s="12" t="s">
        <v>3040</v>
      </c>
      <c r="B1296" s="6" t="s">
        <v>3041</v>
      </c>
      <c r="C1296" s="6" t="s">
        <v>3042</v>
      </c>
      <c r="D1296" s="60" t="s">
        <v>3043</v>
      </c>
      <c r="E1296" s="60"/>
      <c r="F1296" s="60"/>
      <c r="G1296" s="60"/>
      <c r="H1296" s="60"/>
      <c r="I1296" s="60"/>
      <c r="J1296" s="60"/>
      <c r="K1296" s="22">
        <f>SUM(K1299:K1299)</f>
        <v>1</v>
      </c>
      <c r="L1296" s="22">
        <f>ROUND(640.38*(1+M2/100),2)</f>
        <v>640.38</v>
      </c>
      <c r="M1296" s="22">
        <f>ROUND(K1296*L1296,2)</f>
        <v>640.38</v>
      </c>
      <c r="N1296" s="8"/>
    </row>
    <row r="1297" spans="1:14" ht="21.6" customHeight="1" thickBot="1" x14ac:dyDescent="0.25">
      <c r="A1297" s="8"/>
      <c r="B1297" s="8"/>
      <c r="C1297" s="8"/>
      <c r="D1297" s="60" t="s">
        <v>3044</v>
      </c>
      <c r="E1297" s="60"/>
      <c r="F1297" s="60"/>
      <c r="G1297" s="60"/>
      <c r="H1297" s="60"/>
      <c r="I1297" s="60"/>
      <c r="J1297" s="60"/>
      <c r="K1297" s="60"/>
      <c r="L1297" s="60"/>
      <c r="M1297" s="60"/>
      <c r="N1297" s="8"/>
    </row>
    <row r="1298" spans="1:14" ht="15.4" customHeight="1" thickBot="1" x14ac:dyDescent="0.25">
      <c r="A1298" s="8"/>
      <c r="B1298" s="8"/>
      <c r="C1298" s="8"/>
      <c r="D1298" s="8"/>
      <c r="E1298" s="23"/>
      <c r="F1298" s="25" t="s">
        <v>3045</v>
      </c>
      <c r="G1298" s="25" t="s">
        <v>3046</v>
      </c>
      <c r="H1298" s="25" t="s">
        <v>3047</v>
      </c>
      <c r="I1298" s="25" t="s">
        <v>3048</v>
      </c>
      <c r="J1298" s="25" t="s">
        <v>3049</v>
      </c>
      <c r="K1298" s="25" t="s">
        <v>3050</v>
      </c>
      <c r="L1298" s="8"/>
      <c r="M1298" s="8"/>
      <c r="N1298" s="8"/>
    </row>
    <row r="1299" spans="1:14" ht="15.4" customHeight="1" thickBot="1" x14ac:dyDescent="0.25">
      <c r="A1299" s="8"/>
      <c r="B1299" s="8"/>
      <c r="C1299" s="8"/>
      <c r="D1299" s="26"/>
      <c r="E1299" s="27"/>
      <c r="F1299" s="28">
        <v>1</v>
      </c>
      <c r="G1299" s="29"/>
      <c r="H1299" s="29"/>
      <c r="I1299" s="29"/>
      <c r="J1299" s="31">
        <f>ROUND(F1299,2)</f>
        <v>1</v>
      </c>
      <c r="K1299" s="33">
        <f>SUM(J1299:J1299)</f>
        <v>1</v>
      </c>
      <c r="L1299" s="8"/>
      <c r="M1299" s="8"/>
      <c r="N1299" s="8"/>
    </row>
    <row r="1300" spans="1:14" ht="15.4" customHeight="1" thickBot="1" x14ac:dyDescent="0.25">
      <c r="A1300" s="36"/>
      <c r="B1300" s="36"/>
      <c r="C1300" s="36"/>
      <c r="D1300" s="37" t="s">
        <v>3051</v>
      </c>
      <c r="E1300" s="38"/>
      <c r="F1300" s="38"/>
      <c r="G1300" s="38"/>
      <c r="H1300" s="38"/>
      <c r="I1300" s="38"/>
      <c r="J1300" s="38"/>
      <c r="K1300" s="38"/>
      <c r="L1300" s="39">
        <f>M1197+M1201+M1206+M1211+M1215+M1221+M1231+M1235+M1239+M1244+M1248+M1252+M1258+M1262+M1266+M1270+M1274+M1278+M1283+M1287+M1291+M1296</f>
        <v>18205.84</v>
      </c>
      <c r="M1300" s="39">
        <f>ROUND(L1300,2)</f>
        <v>18205.84</v>
      </c>
      <c r="N1300" s="8"/>
    </row>
    <row r="1301" spans="1:14" ht="15.4" customHeight="1" thickBot="1" x14ac:dyDescent="0.25">
      <c r="A1301" s="40" t="s">
        <v>3052</v>
      </c>
      <c r="B1301" s="40" t="s">
        <v>3053</v>
      </c>
      <c r="C1301" s="41"/>
      <c r="D1301" s="61" t="s">
        <v>3054</v>
      </c>
      <c r="E1301" s="61"/>
      <c r="F1301" s="61"/>
      <c r="G1301" s="61"/>
      <c r="H1301" s="61"/>
      <c r="I1301" s="61"/>
      <c r="J1301" s="61"/>
      <c r="K1301" s="41"/>
      <c r="L1301" s="42">
        <f>L1380</f>
        <v>9675.31</v>
      </c>
      <c r="M1301" s="42">
        <f>ROUND(L1301,2)</f>
        <v>9675.31</v>
      </c>
      <c r="N1301" s="8"/>
    </row>
    <row r="1302" spans="1:14" ht="15.4" customHeight="1" thickBot="1" x14ac:dyDescent="0.25">
      <c r="A1302" s="12" t="s">
        <v>3055</v>
      </c>
      <c r="B1302" s="6" t="s">
        <v>3056</v>
      </c>
      <c r="C1302" s="6" t="s">
        <v>3057</v>
      </c>
      <c r="D1302" s="60" t="s">
        <v>3058</v>
      </c>
      <c r="E1302" s="60"/>
      <c r="F1302" s="60"/>
      <c r="G1302" s="60"/>
      <c r="H1302" s="60"/>
      <c r="I1302" s="60"/>
      <c r="J1302" s="60"/>
      <c r="K1302" s="22">
        <f>SUM(K1305:K1307)</f>
        <v>6</v>
      </c>
      <c r="L1302" s="22">
        <f>ROUND(166.59*(1+M2/100),2)</f>
        <v>166.59</v>
      </c>
      <c r="M1302" s="22">
        <f>ROUND(K1302*L1302,2)</f>
        <v>999.54</v>
      </c>
      <c r="N1302" s="8"/>
    </row>
    <row r="1303" spans="1:14" ht="30.95" customHeight="1" thickBot="1" x14ac:dyDescent="0.25">
      <c r="A1303" s="8"/>
      <c r="B1303" s="8"/>
      <c r="C1303" s="8"/>
      <c r="D1303" s="60" t="s">
        <v>3059</v>
      </c>
      <c r="E1303" s="60"/>
      <c r="F1303" s="60"/>
      <c r="G1303" s="60"/>
      <c r="H1303" s="60"/>
      <c r="I1303" s="60"/>
      <c r="J1303" s="60"/>
      <c r="K1303" s="60"/>
      <c r="L1303" s="60"/>
      <c r="M1303" s="60"/>
      <c r="N1303" s="8"/>
    </row>
    <row r="1304" spans="1:14" ht="15.4" customHeight="1" thickBot="1" x14ac:dyDescent="0.25">
      <c r="A1304" s="8"/>
      <c r="B1304" s="8"/>
      <c r="C1304" s="8"/>
      <c r="D1304" s="8"/>
      <c r="E1304" s="23"/>
      <c r="F1304" s="25" t="s">
        <v>3060</v>
      </c>
      <c r="G1304" s="25" t="s">
        <v>3061</v>
      </c>
      <c r="H1304" s="25" t="s">
        <v>3062</v>
      </c>
      <c r="I1304" s="25" t="s">
        <v>3063</v>
      </c>
      <c r="J1304" s="25" t="s">
        <v>3064</v>
      </c>
      <c r="K1304" s="25" t="s">
        <v>3065</v>
      </c>
      <c r="L1304" s="8"/>
      <c r="M1304" s="8"/>
      <c r="N1304" s="8"/>
    </row>
    <row r="1305" spans="1:14" ht="15.4" customHeight="1" thickBot="1" x14ac:dyDescent="0.25">
      <c r="A1305" s="8"/>
      <c r="B1305" s="8"/>
      <c r="C1305" s="8"/>
      <c r="D1305" s="26"/>
      <c r="E1305" s="27" t="s">
        <v>3066</v>
      </c>
      <c r="F1305" s="28">
        <v>2</v>
      </c>
      <c r="G1305" s="29"/>
      <c r="H1305" s="29"/>
      <c r="I1305" s="29"/>
      <c r="J1305" s="31">
        <f>ROUND(F1305,2)</f>
        <v>2</v>
      </c>
      <c r="K1305" s="35"/>
      <c r="L1305" s="8"/>
      <c r="M1305" s="8"/>
      <c r="N1305" s="8"/>
    </row>
    <row r="1306" spans="1:14" ht="15.4" customHeight="1" thickBot="1" x14ac:dyDescent="0.25">
      <c r="A1306" s="8"/>
      <c r="B1306" s="8"/>
      <c r="C1306" s="8"/>
      <c r="D1306" s="26"/>
      <c r="E1306" s="6" t="s">
        <v>3067</v>
      </c>
      <c r="F1306" s="4">
        <v>2</v>
      </c>
      <c r="G1306" s="22"/>
      <c r="H1306" s="22"/>
      <c r="I1306" s="22"/>
      <c r="J1306" s="30">
        <f>ROUND(F1306,2)</f>
        <v>2</v>
      </c>
      <c r="K1306" s="8"/>
      <c r="L1306" s="8"/>
      <c r="M1306" s="8"/>
      <c r="N1306" s="8"/>
    </row>
    <row r="1307" spans="1:14" ht="15.4" customHeight="1" thickBot="1" x14ac:dyDescent="0.25">
      <c r="A1307" s="8"/>
      <c r="B1307" s="8"/>
      <c r="C1307" s="8"/>
      <c r="D1307" s="26"/>
      <c r="E1307" s="6" t="s">
        <v>3068</v>
      </c>
      <c r="F1307" s="4">
        <v>2</v>
      </c>
      <c r="G1307" s="22"/>
      <c r="H1307" s="22"/>
      <c r="I1307" s="22"/>
      <c r="J1307" s="30">
        <f>ROUND(F1307,2)</f>
        <v>2</v>
      </c>
      <c r="K1307" s="32">
        <f>SUM(J1305:J1307)</f>
        <v>6</v>
      </c>
      <c r="L1307" s="8"/>
      <c r="M1307" s="8"/>
      <c r="N1307" s="8"/>
    </row>
    <row r="1308" spans="1:14" ht="15.4" customHeight="1" thickBot="1" x14ac:dyDescent="0.25">
      <c r="A1308" s="12" t="s">
        <v>3069</v>
      </c>
      <c r="B1308" s="6" t="s">
        <v>3070</v>
      </c>
      <c r="C1308" s="6" t="s">
        <v>3071</v>
      </c>
      <c r="D1308" s="60" t="s">
        <v>3072</v>
      </c>
      <c r="E1308" s="60"/>
      <c r="F1308" s="60"/>
      <c r="G1308" s="60"/>
      <c r="H1308" s="60"/>
      <c r="I1308" s="60"/>
      <c r="J1308" s="60"/>
      <c r="K1308" s="22">
        <f>SUM(K1311:K1312)</f>
        <v>4</v>
      </c>
      <c r="L1308" s="22">
        <f>ROUND(214.19*(1+M2/100),2)</f>
        <v>214.19</v>
      </c>
      <c r="M1308" s="22">
        <f>ROUND(K1308*L1308,2)</f>
        <v>856.76</v>
      </c>
      <c r="N1308" s="8"/>
    </row>
    <row r="1309" spans="1:14" ht="30.95" customHeight="1" thickBot="1" x14ac:dyDescent="0.25">
      <c r="A1309" s="8"/>
      <c r="B1309" s="8"/>
      <c r="C1309" s="8"/>
      <c r="D1309" s="60" t="s">
        <v>3073</v>
      </c>
      <c r="E1309" s="60"/>
      <c r="F1309" s="60"/>
      <c r="G1309" s="60"/>
      <c r="H1309" s="60"/>
      <c r="I1309" s="60"/>
      <c r="J1309" s="60"/>
      <c r="K1309" s="60"/>
      <c r="L1309" s="60"/>
      <c r="M1309" s="60"/>
      <c r="N1309" s="8"/>
    </row>
    <row r="1310" spans="1:14" ht="15.4" customHeight="1" thickBot="1" x14ac:dyDescent="0.25">
      <c r="A1310" s="8"/>
      <c r="B1310" s="8"/>
      <c r="C1310" s="8"/>
      <c r="D1310" s="8"/>
      <c r="E1310" s="23"/>
      <c r="F1310" s="25" t="s">
        <v>3074</v>
      </c>
      <c r="G1310" s="25" t="s">
        <v>3075</v>
      </c>
      <c r="H1310" s="25" t="s">
        <v>3076</v>
      </c>
      <c r="I1310" s="25" t="s">
        <v>3077</v>
      </c>
      <c r="J1310" s="25" t="s">
        <v>3078</v>
      </c>
      <c r="K1310" s="25" t="s">
        <v>3079</v>
      </c>
      <c r="L1310" s="8"/>
      <c r="M1310" s="8"/>
      <c r="N1310" s="8"/>
    </row>
    <row r="1311" spans="1:14" ht="15.4" customHeight="1" thickBot="1" x14ac:dyDescent="0.25">
      <c r="A1311" s="8"/>
      <c r="B1311" s="8"/>
      <c r="C1311" s="8"/>
      <c r="D1311" s="26"/>
      <c r="E1311" s="27" t="s">
        <v>3080</v>
      </c>
      <c r="F1311" s="28">
        <v>2</v>
      </c>
      <c r="G1311" s="29"/>
      <c r="H1311" s="29"/>
      <c r="I1311" s="29"/>
      <c r="J1311" s="31">
        <f>ROUND(F1311,2)</f>
        <v>2</v>
      </c>
      <c r="K1311" s="35"/>
      <c r="L1311" s="8"/>
      <c r="M1311" s="8"/>
      <c r="N1311" s="8"/>
    </row>
    <row r="1312" spans="1:14" ht="15.4" customHeight="1" thickBot="1" x14ac:dyDescent="0.25">
      <c r="A1312" s="8"/>
      <c r="B1312" s="8"/>
      <c r="C1312" s="8"/>
      <c r="D1312" s="26"/>
      <c r="E1312" s="6" t="s">
        <v>3081</v>
      </c>
      <c r="F1312" s="4">
        <v>2</v>
      </c>
      <c r="G1312" s="22"/>
      <c r="H1312" s="22"/>
      <c r="I1312" s="22"/>
      <c r="J1312" s="30">
        <f>ROUND(F1312,2)</f>
        <v>2</v>
      </c>
      <c r="K1312" s="32">
        <f>SUM(J1311:J1312)</f>
        <v>4</v>
      </c>
      <c r="L1312" s="8"/>
      <c r="M1312" s="8"/>
      <c r="N1312" s="8"/>
    </row>
    <row r="1313" spans="1:14" ht="15.4" customHeight="1" thickBot="1" x14ac:dyDescent="0.25">
      <c r="A1313" s="12" t="s">
        <v>3082</v>
      </c>
      <c r="B1313" s="6" t="s">
        <v>3083</v>
      </c>
      <c r="C1313" s="6" t="s">
        <v>3084</v>
      </c>
      <c r="D1313" s="60" t="s">
        <v>3085</v>
      </c>
      <c r="E1313" s="60"/>
      <c r="F1313" s="60"/>
      <c r="G1313" s="60"/>
      <c r="H1313" s="60"/>
      <c r="I1313" s="60"/>
      <c r="J1313" s="60"/>
      <c r="K1313" s="22">
        <f>SUM(K1316:K1316)</f>
        <v>2</v>
      </c>
      <c r="L1313" s="22">
        <f>ROUND(416.47*(1+M2/100),2)</f>
        <v>416.47</v>
      </c>
      <c r="M1313" s="22">
        <f>ROUND(K1313*L1313,2)</f>
        <v>832.94</v>
      </c>
      <c r="N1313" s="8"/>
    </row>
    <row r="1314" spans="1:14" ht="30.95" customHeight="1" thickBot="1" x14ac:dyDescent="0.25">
      <c r="A1314" s="8"/>
      <c r="B1314" s="8"/>
      <c r="C1314" s="8"/>
      <c r="D1314" s="60" t="s">
        <v>3086</v>
      </c>
      <c r="E1314" s="60"/>
      <c r="F1314" s="60"/>
      <c r="G1314" s="60"/>
      <c r="H1314" s="60"/>
      <c r="I1314" s="60"/>
      <c r="J1314" s="60"/>
      <c r="K1314" s="60"/>
      <c r="L1314" s="60"/>
      <c r="M1314" s="60"/>
      <c r="N1314" s="8"/>
    </row>
    <row r="1315" spans="1:14" ht="15.4" customHeight="1" thickBot="1" x14ac:dyDescent="0.25">
      <c r="A1315" s="8"/>
      <c r="B1315" s="8"/>
      <c r="C1315" s="8"/>
      <c r="D1315" s="8"/>
      <c r="E1315" s="23"/>
      <c r="F1315" s="25" t="s">
        <v>3087</v>
      </c>
      <c r="G1315" s="25" t="s">
        <v>3088</v>
      </c>
      <c r="H1315" s="25" t="s">
        <v>3089</v>
      </c>
      <c r="I1315" s="25" t="s">
        <v>3090</v>
      </c>
      <c r="J1315" s="25" t="s">
        <v>3091</v>
      </c>
      <c r="K1315" s="25" t="s">
        <v>3092</v>
      </c>
      <c r="L1315" s="8"/>
      <c r="M1315" s="8"/>
      <c r="N1315" s="8"/>
    </row>
    <row r="1316" spans="1:14" ht="15.4" customHeight="1" thickBot="1" x14ac:dyDescent="0.25">
      <c r="A1316" s="8"/>
      <c r="B1316" s="8"/>
      <c r="C1316" s="8"/>
      <c r="D1316" s="26"/>
      <c r="E1316" s="27" t="s">
        <v>3093</v>
      </c>
      <c r="F1316" s="28">
        <v>2</v>
      </c>
      <c r="G1316" s="29"/>
      <c r="H1316" s="29"/>
      <c r="I1316" s="29"/>
      <c r="J1316" s="31">
        <f>ROUND(F1316,2)</f>
        <v>2</v>
      </c>
      <c r="K1316" s="33">
        <f>SUM(J1316:J1316)</f>
        <v>2</v>
      </c>
      <c r="L1316" s="8"/>
      <c r="M1316" s="8"/>
      <c r="N1316" s="8"/>
    </row>
    <row r="1317" spans="1:14" ht="15.4" customHeight="1" thickBot="1" x14ac:dyDescent="0.25">
      <c r="A1317" s="12" t="s">
        <v>3094</v>
      </c>
      <c r="B1317" s="6" t="s">
        <v>3095</v>
      </c>
      <c r="C1317" s="6" t="s">
        <v>3096</v>
      </c>
      <c r="D1317" s="60" t="s">
        <v>3097</v>
      </c>
      <c r="E1317" s="60"/>
      <c r="F1317" s="60"/>
      <c r="G1317" s="60"/>
      <c r="H1317" s="60"/>
      <c r="I1317" s="60"/>
      <c r="J1317" s="60"/>
      <c r="K1317" s="22">
        <f>SUM(K1320:K1320)</f>
        <v>1</v>
      </c>
      <c r="L1317" s="22">
        <f>ROUND(142.81*(1+M2/100),2)</f>
        <v>142.81</v>
      </c>
      <c r="M1317" s="22">
        <f>ROUND(K1317*L1317,2)</f>
        <v>142.81</v>
      </c>
      <c r="N1317" s="8"/>
    </row>
    <row r="1318" spans="1:14" ht="21.6" customHeight="1" thickBot="1" x14ac:dyDescent="0.25">
      <c r="A1318" s="8"/>
      <c r="B1318" s="8"/>
      <c r="C1318" s="8"/>
      <c r="D1318" s="60" t="s">
        <v>3098</v>
      </c>
      <c r="E1318" s="60"/>
      <c r="F1318" s="60"/>
      <c r="G1318" s="60"/>
      <c r="H1318" s="60"/>
      <c r="I1318" s="60"/>
      <c r="J1318" s="60"/>
      <c r="K1318" s="60"/>
      <c r="L1318" s="60"/>
      <c r="M1318" s="60"/>
      <c r="N1318" s="8"/>
    </row>
    <row r="1319" spans="1:14" ht="15.4" customHeight="1" thickBot="1" x14ac:dyDescent="0.25">
      <c r="A1319" s="8"/>
      <c r="B1319" s="8"/>
      <c r="C1319" s="8"/>
      <c r="D1319" s="8"/>
      <c r="E1319" s="23"/>
      <c r="F1319" s="25" t="s">
        <v>3099</v>
      </c>
      <c r="G1319" s="25" t="s">
        <v>3100</v>
      </c>
      <c r="H1319" s="25" t="s">
        <v>3101</v>
      </c>
      <c r="I1319" s="25" t="s">
        <v>3102</v>
      </c>
      <c r="J1319" s="25" t="s">
        <v>3103</v>
      </c>
      <c r="K1319" s="25" t="s">
        <v>3104</v>
      </c>
      <c r="L1319" s="8"/>
      <c r="M1319" s="8"/>
      <c r="N1319" s="8"/>
    </row>
    <row r="1320" spans="1:14" ht="15.4" customHeight="1" thickBot="1" x14ac:dyDescent="0.25">
      <c r="A1320" s="8"/>
      <c r="B1320" s="8"/>
      <c r="C1320" s="8"/>
      <c r="D1320" s="26"/>
      <c r="E1320" s="27" t="s">
        <v>3105</v>
      </c>
      <c r="F1320" s="28">
        <v>1</v>
      </c>
      <c r="G1320" s="29"/>
      <c r="H1320" s="29"/>
      <c r="I1320" s="29"/>
      <c r="J1320" s="31">
        <f>ROUND(F1320,2)</f>
        <v>1</v>
      </c>
      <c r="K1320" s="33">
        <f>SUM(J1320:J1320)</f>
        <v>1</v>
      </c>
      <c r="L1320" s="8"/>
      <c r="M1320" s="8"/>
      <c r="N1320" s="8"/>
    </row>
    <row r="1321" spans="1:14" ht="15.4" customHeight="1" thickBot="1" x14ac:dyDescent="0.25">
      <c r="A1321" s="12" t="s">
        <v>3106</v>
      </c>
      <c r="B1321" s="6" t="s">
        <v>3107</v>
      </c>
      <c r="C1321" s="6" t="s">
        <v>3108</v>
      </c>
      <c r="D1321" s="60" t="s">
        <v>3109</v>
      </c>
      <c r="E1321" s="60"/>
      <c r="F1321" s="60"/>
      <c r="G1321" s="60"/>
      <c r="H1321" s="60"/>
      <c r="I1321" s="60"/>
      <c r="J1321" s="60"/>
      <c r="K1321" s="22">
        <f>SUM(K1324:K1325)</f>
        <v>12</v>
      </c>
      <c r="L1321" s="22">
        <f>ROUND(208.24*(1+M2/100),2)</f>
        <v>208.24</v>
      </c>
      <c r="M1321" s="22">
        <f>ROUND(K1321*L1321,2)</f>
        <v>2498.88</v>
      </c>
      <c r="N1321" s="8"/>
    </row>
    <row r="1322" spans="1:14" ht="21.6" customHeight="1" thickBot="1" x14ac:dyDescent="0.25">
      <c r="A1322" s="8"/>
      <c r="B1322" s="8"/>
      <c r="C1322" s="8"/>
      <c r="D1322" s="60" t="s">
        <v>3110</v>
      </c>
      <c r="E1322" s="60"/>
      <c r="F1322" s="60"/>
      <c r="G1322" s="60"/>
      <c r="H1322" s="60"/>
      <c r="I1322" s="60"/>
      <c r="J1322" s="60"/>
      <c r="K1322" s="60"/>
      <c r="L1322" s="60"/>
      <c r="M1322" s="60"/>
      <c r="N1322" s="8"/>
    </row>
    <row r="1323" spans="1:14" ht="15.4" customHeight="1" thickBot="1" x14ac:dyDescent="0.25">
      <c r="A1323" s="8"/>
      <c r="B1323" s="8"/>
      <c r="C1323" s="8"/>
      <c r="D1323" s="8"/>
      <c r="E1323" s="23"/>
      <c r="F1323" s="25" t="s">
        <v>3111</v>
      </c>
      <c r="G1323" s="25" t="s">
        <v>3112</v>
      </c>
      <c r="H1323" s="25" t="s">
        <v>3113</v>
      </c>
      <c r="I1323" s="25" t="s">
        <v>3114</v>
      </c>
      <c r="J1323" s="25" t="s">
        <v>3115</v>
      </c>
      <c r="K1323" s="25" t="s">
        <v>3116</v>
      </c>
      <c r="L1323" s="8"/>
      <c r="M1323" s="8"/>
      <c r="N1323" s="8"/>
    </row>
    <row r="1324" spans="1:14" ht="15.4" customHeight="1" thickBot="1" x14ac:dyDescent="0.25">
      <c r="A1324" s="8"/>
      <c r="B1324" s="8"/>
      <c r="C1324" s="8"/>
      <c r="D1324" s="26"/>
      <c r="E1324" s="27" t="s">
        <v>3117</v>
      </c>
      <c r="F1324" s="28">
        <v>6</v>
      </c>
      <c r="G1324" s="29"/>
      <c r="H1324" s="29"/>
      <c r="I1324" s="29"/>
      <c r="J1324" s="31">
        <f>ROUND(F1324,2)</f>
        <v>6</v>
      </c>
      <c r="K1324" s="35"/>
      <c r="L1324" s="8"/>
      <c r="M1324" s="8"/>
      <c r="N1324" s="8"/>
    </row>
    <row r="1325" spans="1:14" ht="15.4" customHeight="1" thickBot="1" x14ac:dyDescent="0.25">
      <c r="A1325" s="8"/>
      <c r="B1325" s="8"/>
      <c r="C1325" s="8"/>
      <c r="D1325" s="26"/>
      <c r="E1325" s="6" t="s">
        <v>3118</v>
      </c>
      <c r="F1325" s="4">
        <v>6</v>
      </c>
      <c r="G1325" s="22"/>
      <c r="H1325" s="22"/>
      <c r="I1325" s="22"/>
      <c r="J1325" s="30">
        <f>ROUND(F1325,2)</f>
        <v>6</v>
      </c>
      <c r="K1325" s="32">
        <f>SUM(J1324:J1325)</f>
        <v>12</v>
      </c>
      <c r="L1325" s="8"/>
      <c r="M1325" s="8"/>
      <c r="N1325" s="8"/>
    </row>
    <row r="1326" spans="1:14" ht="15.4" customHeight="1" thickBot="1" x14ac:dyDescent="0.25">
      <c r="A1326" s="12" t="s">
        <v>3119</v>
      </c>
      <c r="B1326" s="6" t="s">
        <v>3120</v>
      </c>
      <c r="C1326" s="6" t="s">
        <v>3121</v>
      </c>
      <c r="D1326" s="60" t="s">
        <v>3122</v>
      </c>
      <c r="E1326" s="60"/>
      <c r="F1326" s="60"/>
      <c r="G1326" s="60"/>
      <c r="H1326" s="60"/>
      <c r="I1326" s="60"/>
      <c r="J1326" s="60"/>
      <c r="K1326" s="22">
        <f>SUM(K1329:K1329)</f>
        <v>2</v>
      </c>
      <c r="L1326" s="22">
        <f>ROUND(71.39*(1+M2/100),2)</f>
        <v>71.39</v>
      </c>
      <c r="M1326" s="22">
        <f>ROUND(K1326*L1326,2)</f>
        <v>142.78</v>
      </c>
      <c r="N1326" s="8"/>
    </row>
    <row r="1327" spans="1:14" ht="21.6" customHeight="1" thickBot="1" x14ac:dyDescent="0.25">
      <c r="A1327" s="8"/>
      <c r="B1327" s="8"/>
      <c r="C1327" s="8"/>
      <c r="D1327" s="60" t="s">
        <v>3123</v>
      </c>
      <c r="E1327" s="60"/>
      <c r="F1327" s="60"/>
      <c r="G1327" s="60"/>
      <c r="H1327" s="60"/>
      <c r="I1327" s="60"/>
      <c r="J1327" s="60"/>
      <c r="K1327" s="60"/>
      <c r="L1327" s="60"/>
      <c r="M1327" s="60"/>
      <c r="N1327" s="8"/>
    </row>
    <row r="1328" spans="1:14" ht="15.4" customHeight="1" thickBot="1" x14ac:dyDescent="0.25">
      <c r="A1328" s="8"/>
      <c r="B1328" s="8"/>
      <c r="C1328" s="8"/>
      <c r="D1328" s="8"/>
      <c r="E1328" s="23"/>
      <c r="F1328" s="25" t="s">
        <v>3124</v>
      </c>
      <c r="G1328" s="25" t="s">
        <v>3125</v>
      </c>
      <c r="H1328" s="25" t="s">
        <v>3126</v>
      </c>
      <c r="I1328" s="25" t="s">
        <v>3127</v>
      </c>
      <c r="J1328" s="25" t="s">
        <v>3128</v>
      </c>
      <c r="K1328" s="25" t="s">
        <v>3129</v>
      </c>
      <c r="L1328" s="8"/>
      <c r="M1328" s="8"/>
      <c r="N1328" s="8"/>
    </row>
    <row r="1329" spans="1:14" ht="15.4" customHeight="1" thickBot="1" x14ac:dyDescent="0.25">
      <c r="A1329" s="8"/>
      <c r="B1329" s="8"/>
      <c r="C1329" s="8"/>
      <c r="D1329" s="26"/>
      <c r="E1329" s="27" t="s">
        <v>3130</v>
      </c>
      <c r="F1329" s="28">
        <v>2</v>
      </c>
      <c r="G1329" s="29"/>
      <c r="H1329" s="29"/>
      <c r="I1329" s="29"/>
      <c r="J1329" s="31">
        <f>ROUND(F1329,2)</f>
        <v>2</v>
      </c>
      <c r="K1329" s="33">
        <f>SUM(J1329:J1329)</f>
        <v>2</v>
      </c>
      <c r="L1329" s="8"/>
      <c r="M1329" s="8"/>
      <c r="N1329" s="8"/>
    </row>
    <row r="1330" spans="1:14" ht="15.4" customHeight="1" thickBot="1" x14ac:dyDescent="0.25">
      <c r="A1330" s="12" t="s">
        <v>3131</v>
      </c>
      <c r="B1330" s="6" t="s">
        <v>3132</v>
      </c>
      <c r="C1330" s="6" t="s">
        <v>3133</v>
      </c>
      <c r="D1330" s="60" t="s">
        <v>3134</v>
      </c>
      <c r="E1330" s="60"/>
      <c r="F1330" s="60"/>
      <c r="G1330" s="60"/>
      <c r="H1330" s="60"/>
      <c r="I1330" s="60"/>
      <c r="J1330" s="60"/>
      <c r="K1330" s="22">
        <f>SUM(K1333:K1334)</f>
        <v>4</v>
      </c>
      <c r="L1330" s="22">
        <f>ROUND(95.2*(1+M2/100),2)</f>
        <v>95.2</v>
      </c>
      <c r="M1330" s="22">
        <f>ROUND(K1330*L1330,2)</f>
        <v>380.8</v>
      </c>
      <c r="N1330" s="8"/>
    </row>
    <row r="1331" spans="1:14" ht="30.95" customHeight="1" thickBot="1" x14ac:dyDescent="0.25">
      <c r="A1331" s="8"/>
      <c r="B1331" s="8"/>
      <c r="C1331" s="8"/>
      <c r="D1331" s="60" t="s">
        <v>3135</v>
      </c>
      <c r="E1331" s="60"/>
      <c r="F1331" s="60"/>
      <c r="G1331" s="60"/>
      <c r="H1331" s="60"/>
      <c r="I1331" s="60"/>
      <c r="J1331" s="60"/>
      <c r="K1331" s="60"/>
      <c r="L1331" s="60"/>
      <c r="M1331" s="60"/>
      <c r="N1331" s="8"/>
    </row>
    <row r="1332" spans="1:14" ht="15.4" customHeight="1" thickBot="1" x14ac:dyDescent="0.25">
      <c r="A1332" s="8"/>
      <c r="B1332" s="8"/>
      <c r="C1332" s="8"/>
      <c r="D1332" s="8"/>
      <c r="E1332" s="23"/>
      <c r="F1332" s="25" t="s">
        <v>3136</v>
      </c>
      <c r="G1332" s="25" t="s">
        <v>3137</v>
      </c>
      <c r="H1332" s="25" t="s">
        <v>3138</v>
      </c>
      <c r="I1332" s="25" t="s">
        <v>3139</v>
      </c>
      <c r="J1332" s="25" t="s">
        <v>3140</v>
      </c>
      <c r="K1332" s="25" t="s">
        <v>3141</v>
      </c>
      <c r="L1332" s="8"/>
      <c r="M1332" s="8"/>
      <c r="N1332" s="8"/>
    </row>
    <row r="1333" spans="1:14" ht="15.4" customHeight="1" thickBot="1" x14ac:dyDescent="0.25">
      <c r="A1333" s="8"/>
      <c r="B1333" s="8"/>
      <c r="C1333" s="8"/>
      <c r="D1333" s="26"/>
      <c r="E1333" s="27" t="s">
        <v>3142</v>
      </c>
      <c r="F1333" s="28">
        <v>2</v>
      </c>
      <c r="G1333" s="29"/>
      <c r="H1333" s="29"/>
      <c r="I1333" s="29"/>
      <c r="J1333" s="31">
        <f>ROUND(F1333,2)</f>
        <v>2</v>
      </c>
      <c r="K1333" s="35"/>
      <c r="L1333" s="8"/>
      <c r="M1333" s="8"/>
      <c r="N1333" s="8"/>
    </row>
    <row r="1334" spans="1:14" ht="15.4" customHeight="1" thickBot="1" x14ac:dyDescent="0.25">
      <c r="A1334" s="8"/>
      <c r="B1334" s="8"/>
      <c r="C1334" s="8"/>
      <c r="D1334" s="26"/>
      <c r="E1334" s="6" t="s">
        <v>3143</v>
      </c>
      <c r="F1334" s="4">
        <v>2</v>
      </c>
      <c r="G1334" s="22"/>
      <c r="H1334" s="22"/>
      <c r="I1334" s="22"/>
      <c r="J1334" s="30">
        <f>ROUND(F1334,2)</f>
        <v>2</v>
      </c>
      <c r="K1334" s="32">
        <f>SUM(J1333:J1334)</f>
        <v>4</v>
      </c>
      <c r="L1334" s="8"/>
      <c r="M1334" s="8"/>
      <c r="N1334" s="8"/>
    </row>
    <row r="1335" spans="1:14" ht="15.4" customHeight="1" thickBot="1" x14ac:dyDescent="0.25">
      <c r="A1335" s="12" t="s">
        <v>3144</v>
      </c>
      <c r="B1335" s="6" t="s">
        <v>3145</v>
      </c>
      <c r="C1335" s="6" t="s">
        <v>3146</v>
      </c>
      <c r="D1335" s="60" t="s">
        <v>3147</v>
      </c>
      <c r="E1335" s="60"/>
      <c r="F1335" s="60"/>
      <c r="G1335" s="60"/>
      <c r="H1335" s="60"/>
      <c r="I1335" s="60"/>
      <c r="J1335" s="60"/>
      <c r="K1335" s="22">
        <f>SUM(K1338:K1338)</f>
        <v>2</v>
      </c>
      <c r="L1335" s="22">
        <f>ROUND(130.89*(1+M2/100),2)</f>
        <v>130.88999999999999</v>
      </c>
      <c r="M1335" s="22">
        <f>ROUND(K1335*L1335,2)</f>
        <v>261.77999999999997</v>
      </c>
      <c r="N1335" s="8"/>
    </row>
    <row r="1336" spans="1:14" ht="30.95" customHeight="1" thickBot="1" x14ac:dyDescent="0.25">
      <c r="A1336" s="8"/>
      <c r="B1336" s="8"/>
      <c r="C1336" s="8"/>
      <c r="D1336" s="60" t="s">
        <v>3148</v>
      </c>
      <c r="E1336" s="60"/>
      <c r="F1336" s="60"/>
      <c r="G1336" s="60"/>
      <c r="H1336" s="60"/>
      <c r="I1336" s="60"/>
      <c r="J1336" s="60"/>
      <c r="K1336" s="60"/>
      <c r="L1336" s="60"/>
      <c r="M1336" s="60"/>
      <c r="N1336" s="8"/>
    </row>
    <row r="1337" spans="1:14" ht="15.4" customHeight="1" thickBot="1" x14ac:dyDescent="0.25">
      <c r="A1337" s="8"/>
      <c r="B1337" s="8"/>
      <c r="C1337" s="8"/>
      <c r="D1337" s="8"/>
      <c r="E1337" s="23"/>
      <c r="F1337" s="25" t="s">
        <v>3149</v>
      </c>
      <c r="G1337" s="25" t="s">
        <v>3150</v>
      </c>
      <c r="H1337" s="25" t="s">
        <v>3151</v>
      </c>
      <c r="I1337" s="25" t="s">
        <v>3152</v>
      </c>
      <c r="J1337" s="25" t="s">
        <v>3153</v>
      </c>
      <c r="K1337" s="25" t="s">
        <v>3154</v>
      </c>
      <c r="L1337" s="8"/>
      <c r="M1337" s="8"/>
      <c r="N1337" s="8"/>
    </row>
    <row r="1338" spans="1:14" ht="15.4" customHeight="1" thickBot="1" x14ac:dyDescent="0.25">
      <c r="A1338" s="8"/>
      <c r="B1338" s="8"/>
      <c r="C1338" s="8"/>
      <c r="D1338" s="26"/>
      <c r="E1338" s="27" t="s">
        <v>3155</v>
      </c>
      <c r="F1338" s="28">
        <v>2</v>
      </c>
      <c r="G1338" s="29"/>
      <c r="H1338" s="29"/>
      <c r="I1338" s="29"/>
      <c r="J1338" s="31">
        <f>ROUND(F1338,2)</f>
        <v>2</v>
      </c>
      <c r="K1338" s="33">
        <f>SUM(J1338:J1338)</f>
        <v>2</v>
      </c>
      <c r="L1338" s="8"/>
      <c r="M1338" s="8"/>
      <c r="N1338" s="8"/>
    </row>
    <row r="1339" spans="1:14" ht="15.4" customHeight="1" thickBot="1" x14ac:dyDescent="0.25">
      <c r="A1339" s="12" t="s">
        <v>3156</v>
      </c>
      <c r="B1339" s="6" t="s">
        <v>3157</v>
      </c>
      <c r="C1339" s="6" t="s">
        <v>3158</v>
      </c>
      <c r="D1339" s="60" t="s">
        <v>3159</v>
      </c>
      <c r="E1339" s="60"/>
      <c r="F1339" s="60"/>
      <c r="G1339" s="60"/>
      <c r="H1339" s="60"/>
      <c r="I1339" s="60"/>
      <c r="J1339" s="60"/>
      <c r="K1339" s="22">
        <f>SUM(K1342:K1342)</f>
        <v>1</v>
      </c>
      <c r="L1339" s="22">
        <f>ROUND(103.53*(1+M2/100),2)</f>
        <v>103.53</v>
      </c>
      <c r="M1339" s="22">
        <f>ROUND(K1339*L1339,2)</f>
        <v>103.53</v>
      </c>
      <c r="N1339" s="8"/>
    </row>
    <row r="1340" spans="1:14" ht="21.6" customHeight="1" thickBot="1" x14ac:dyDescent="0.25">
      <c r="A1340" s="8"/>
      <c r="B1340" s="8"/>
      <c r="C1340" s="8"/>
      <c r="D1340" s="60" t="s">
        <v>3160</v>
      </c>
      <c r="E1340" s="60"/>
      <c r="F1340" s="60"/>
      <c r="G1340" s="60"/>
      <c r="H1340" s="60"/>
      <c r="I1340" s="60"/>
      <c r="J1340" s="60"/>
      <c r="K1340" s="60"/>
      <c r="L1340" s="60"/>
      <c r="M1340" s="60"/>
      <c r="N1340" s="8"/>
    </row>
    <row r="1341" spans="1:14" ht="15.4" customHeight="1" thickBot="1" x14ac:dyDescent="0.25">
      <c r="A1341" s="8"/>
      <c r="B1341" s="8"/>
      <c r="C1341" s="8"/>
      <c r="D1341" s="8"/>
      <c r="E1341" s="23"/>
      <c r="F1341" s="25" t="s">
        <v>3161</v>
      </c>
      <c r="G1341" s="25" t="s">
        <v>3162</v>
      </c>
      <c r="H1341" s="25" t="s">
        <v>3163</v>
      </c>
      <c r="I1341" s="25" t="s">
        <v>3164</v>
      </c>
      <c r="J1341" s="25" t="s">
        <v>3165</v>
      </c>
      <c r="K1341" s="25" t="s">
        <v>3166</v>
      </c>
      <c r="L1341" s="8"/>
      <c r="M1341" s="8"/>
      <c r="N1341" s="8"/>
    </row>
    <row r="1342" spans="1:14" ht="15.4" customHeight="1" thickBot="1" x14ac:dyDescent="0.25">
      <c r="A1342" s="8"/>
      <c r="B1342" s="8"/>
      <c r="C1342" s="8"/>
      <c r="D1342" s="26"/>
      <c r="E1342" s="27" t="s">
        <v>3167</v>
      </c>
      <c r="F1342" s="28">
        <v>1</v>
      </c>
      <c r="G1342" s="29"/>
      <c r="H1342" s="29"/>
      <c r="I1342" s="29"/>
      <c r="J1342" s="31">
        <f>ROUND(F1342,2)</f>
        <v>1</v>
      </c>
      <c r="K1342" s="33">
        <f>SUM(J1342:J1342)</f>
        <v>1</v>
      </c>
      <c r="L1342" s="8"/>
      <c r="M1342" s="8"/>
      <c r="N1342" s="8"/>
    </row>
    <row r="1343" spans="1:14" ht="15.4" customHeight="1" thickBot="1" x14ac:dyDescent="0.25">
      <c r="A1343" s="12" t="s">
        <v>3168</v>
      </c>
      <c r="B1343" s="6" t="s">
        <v>3169</v>
      </c>
      <c r="C1343" s="6" t="s">
        <v>3170</v>
      </c>
      <c r="D1343" s="60" t="s">
        <v>3171</v>
      </c>
      <c r="E1343" s="60"/>
      <c r="F1343" s="60"/>
      <c r="G1343" s="60"/>
      <c r="H1343" s="60"/>
      <c r="I1343" s="60"/>
      <c r="J1343" s="60"/>
      <c r="K1343" s="22">
        <f>SUM(K1346:K1346)</f>
        <v>2</v>
      </c>
      <c r="L1343" s="22">
        <f>ROUND(118.99*(1+M2/100),2)</f>
        <v>118.99</v>
      </c>
      <c r="M1343" s="22">
        <f>ROUND(K1343*L1343,2)</f>
        <v>237.98</v>
      </c>
      <c r="N1343" s="8"/>
    </row>
    <row r="1344" spans="1:14" ht="21.6" customHeight="1" thickBot="1" x14ac:dyDescent="0.25">
      <c r="A1344" s="8"/>
      <c r="B1344" s="8"/>
      <c r="C1344" s="8"/>
      <c r="D1344" s="60" t="s">
        <v>3172</v>
      </c>
      <c r="E1344" s="60"/>
      <c r="F1344" s="60"/>
      <c r="G1344" s="60"/>
      <c r="H1344" s="60"/>
      <c r="I1344" s="60"/>
      <c r="J1344" s="60"/>
      <c r="K1344" s="60"/>
      <c r="L1344" s="60"/>
      <c r="M1344" s="60"/>
      <c r="N1344" s="8"/>
    </row>
    <row r="1345" spans="1:14" ht="15.4" customHeight="1" thickBot="1" x14ac:dyDescent="0.25">
      <c r="A1345" s="8"/>
      <c r="B1345" s="8"/>
      <c r="C1345" s="8"/>
      <c r="D1345" s="8"/>
      <c r="E1345" s="23"/>
      <c r="F1345" s="25" t="s">
        <v>3173</v>
      </c>
      <c r="G1345" s="25" t="s">
        <v>3174</v>
      </c>
      <c r="H1345" s="25" t="s">
        <v>3175</v>
      </c>
      <c r="I1345" s="25" t="s">
        <v>3176</v>
      </c>
      <c r="J1345" s="25" t="s">
        <v>3177</v>
      </c>
      <c r="K1345" s="25" t="s">
        <v>3178</v>
      </c>
      <c r="L1345" s="8"/>
      <c r="M1345" s="8"/>
      <c r="N1345" s="8"/>
    </row>
    <row r="1346" spans="1:14" ht="15.4" customHeight="1" thickBot="1" x14ac:dyDescent="0.25">
      <c r="A1346" s="8"/>
      <c r="B1346" s="8"/>
      <c r="C1346" s="8"/>
      <c r="D1346" s="26"/>
      <c r="E1346" s="27" t="s">
        <v>3179</v>
      </c>
      <c r="F1346" s="28">
        <v>2</v>
      </c>
      <c r="G1346" s="29"/>
      <c r="H1346" s="29"/>
      <c r="I1346" s="29"/>
      <c r="J1346" s="31">
        <f>ROUND(F1346,2)</f>
        <v>2</v>
      </c>
      <c r="K1346" s="33">
        <f>SUM(J1346:J1346)</f>
        <v>2</v>
      </c>
      <c r="L1346" s="8"/>
      <c r="M1346" s="8"/>
      <c r="N1346" s="8"/>
    </row>
    <row r="1347" spans="1:14" ht="15.4" customHeight="1" thickBot="1" x14ac:dyDescent="0.25">
      <c r="A1347" s="12" t="s">
        <v>3180</v>
      </c>
      <c r="B1347" s="6" t="s">
        <v>3181</v>
      </c>
      <c r="C1347" s="6" t="s">
        <v>3182</v>
      </c>
      <c r="D1347" s="60" t="s">
        <v>3183</v>
      </c>
      <c r="E1347" s="60"/>
      <c r="F1347" s="60"/>
      <c r="G1347" s="60"/>
      <c r="H1347" s="60"/>
      <c r="I1347" s="60"/>
      <c r="J1347" s="60"/>
      <c r="K1347" s="22">
        <f>SUM(K1350:K1350)</f>
        <v>2</v>
      </c>
      <c r="L1347" s="22">
        <f>ROUND(148.74*(1+M2/100),2)</f>
        <v>148.74</v>
      </c>
      <c r="M1347" s="22">
        <f>ROUND(K1347*L1347,2)</f>
        <v>297.48</v>
      </c>
      <c r="N1347" s="8"/>
    </row>
    <row r="1348" spans="1:14" ht="21.6" customHeight="1" thickBot="1" x14ac:dyDescent="0.25">
      <c r="A1348" s="8"/>
      <c r="B1348" s="8"/>
      <c r="C1348" s="8"/>
      <c r="D1348" s="60" t="s">
        <v>3184</v>
      </c>
      <c r="E1348" s="60"/>
      <c r="F1348" s="60"/>
      <c r="G1348" s="60"/>
      <c r="H1348" s="60"/>
      <c r="I1348" s="60"/>
      <c r="J1348" s="60"/>
      <c r="K1348" s="60"/>
      <c r="L1348" s="60"/>
      <c r="M1348" s="60"/>
      <c r="N1348" s="8"/>
    </row>
    <row r="1349" spans="1:14" ht="15.4" customHeight="1" thickBot="1" x14ac:dyDescent="0.25">
      <c r="A1349" s="8"/>
      <c r="B1349" s="8"/>
      <c r="C1349" s="8"/>
      <c r="D1349" s="8"/>
      <c r="E1349" s="23"/>
      <c r="F1349" s="25" t="s">
        <v>3185</v>
      </c>
      <c r="G1349" s="25" t="s">
        <v>3186</v>
      </c>
      <c r="H1349" s="25" t="s">
        <v>3187</v>
      </c>
      <c r="I1349" s="25" t="s">
        <v>3188</v>
      </c>
      <c r="J1349" s="25" t="s">
        <v>3189</v>
      </c>
      <c r="K1349" s="25" t="s">
        <v>3190</v>
      </c>
      <c r="L1349" s="8"/>
      <c r="M1349" s="8"/>
      <c r="N1349" s="8"/>
    </row>
    <row r="1350" spans="1:14" ht="15.4" customHeight="1" thickBot="1" x14ac:dyDescent="0.25">
      <c r="A1350" s="8"/>
      <c r="B1350" s="8"/>
      <c r="C1350" s="8"/>
      <c r="D1350" s="26"/>
      <c r="E1350" s="27" t="s">
        <v>3191</v>
      </c>
      <c r="F1350" s="28">
        <v>2</v>
      </c>
      <c r="G1350" s="29"/>
      <c r="H1350" s="29"/>
      <c r="I1350" s="29"/>
      <c r="J1350" s="31">
        <f>ROUND(F1350,2)</f>
        <v>2</v>
      </c>
      <c r="K1350" s="33">
        <f>SUM(J1350:J1350)</f>
        <v>2</v>
      </c>
      <c r="L1350" s="8"/>
      <c r="M1350" s="8"/>
      <c r="N1350" s="8"/>
    </row>
    <row r="1351" spans="1:14" ht="15.4" customHeight="1" thickBot="1" x14ac:dyDescent="0.25">
      <c r="A1351" s="12" t="s">
        <v>3192</v>
      </c>
      <c r="B1351" s="6" t="s">
        <v>3193</v>
      </c>
      <c r="C1351" s="6" t="s">
        <v>3194</v>
      </c>
      <c r="D1351" s="60" t="s">
        <v>3195</v>
      </c>
      <c r="E1351" s="60"/>
      <c r="F1351" s="60"/>
      <c r="G1351" s="60"/>
      <c r="H1351" s="60"/>
      <c r="I1351" s="60"/>
      <c r="J1351" s="60"/>
      <c r="K1351" s="22">
        <f>SUM(K1354:K1354)</f>
        <v>1</v>
      </c>
      <c r="L1351" s="22">
        <f>ROUND(356.97*(1+M2/100),2)</f>
        <v>356.97</v>
      </c>
      <c r="M1351" s="22">
        <f>ROUND(K1351*L1351,2)</f>
        <v>356.97</v>
      </c>
      <c r="N1351" s="8"/>
    </row>
    <row r="1352" spans="1:14" ht="40.35" customHeight="1" thickBot="1" x14ac:dyDescent="0.25">
      <c r="A1352" s="8"/>
      <c r="B1352" s="8"/>
      <c r="C1352" s="8"/>
      <c r="D1352" s="60" t="s">
        <v>3196</v>
      </c>
      <c r="E1352" s="60"/>
      <c r="F1352" s="60"/>
      <c r="G1352" s="60"/>
      <c r="H1352" s="60"/>
      <c r="I1352" s="60"/>
      <c r="J1352" s="60"/>
      <c r="K1352" s="60"/>
      <c r="L1352" s="60"/>
      <c r="M1352" s="60"/>
      <c r="N1352" s="8"/>
    </row>
    <row r="1353" spans="1:14" ht="15.4" customHeight="1" thickBot="1" x14ac:dyDescent="0.25">
      <c r="A1353" s="8"/>
      <c r="B1353" s="8"/>
      <c r="C1353" s="8"/>
      <c r="D1353" s="8"/>
      <c r="E1353" s="23"/>
      <c r="F1353" s="25" t="s">
        <v>3197</v>
      </c>
      <c r="G1353" s="25" t="s">
        <v>3198</v>
      </c>
      <c r="H1353" s="25" t="s">
        <v>3199</v>
      </c>
      <c r="I1353" s="25" t="s">
        <v>3200</v>
      </c>
      <c r="J1353" s="25" t="s">
        <v>3201</v>
      </c>
      <c r="K1353" s="25" t="s">
        <v>3202</v>
      </c>
      <c r="L1353" s="8"/>
      <c r="M1353" s="8"/>
      <c r="N1353" s="8"/>
    </row>
    <row r="1354" spans="1:14" ht="15.4" customHeight="1" thickBot="1" x14ac:dyDescent="0.25">
      <c r="A1354" s="8"/>
      <c r="B1354" s="8"/>
      <c r="C1354" s="8"/>
      <c r="D1354" s="26"/>
      <c r="E1354" s="27" t="s">
        <v>3203</v>
      </c>
      <c r="F1354" s="28">
        <v>1</v>
      </c>
      <c r="G1354" s="29"/>
      <c r="H1354" s="29"/>
      <c r="I1354" s="29"/>
      <c r="J1354" s="31">
        <f>ROUND(F1354,2)</f>
        <v>1</v>
      </c>
      <c r="K1354" s="33">
        <f>SUM(J1354:J1354)</f>
        <v>1</v>
      </c>
      <c r="L1354" s="8"/>
      <c r="M1354" s="8"/>
      <c r="N1354" s="8"/>
    </row>
    <row r="1355" spans="1:14" ht="15.4" customHeight="1" thickBot="1" x14ac:dyDescent="0.25">
      <c r="A1355" s="12" t="s">
        <v>3204</v>
      </c>
      <c r="B1355" s="6" t="s">
        <v>3205</v>
      </c>
      <c r="C1355" s="6" t="s">
        <v>3206</v>
      </c>
      <c r="D1355" s="60" t="s">
        <v>3207</v>
      </c>
      <c r="E1355" s="60"/>
      <c r="F1355" s="60"/>
      <c r="G1355" s="60"/>
      <c r="H1355" s="60"/>
      <c r="I1355" s="60"/>
      <c r="J1355" s="60"/>
      <c r="K1355" s="22">
        <f>SUM(K1358:K1358)</f>
        <v>2</v>
      </c>
      <c r="L1355" s="22">
        <f>ROUND(118.99*(1+M2/100),2)</f>
        <v>118.99</v>
      </c>
      <c r="M1355" s="22">
        <f>ROUND(K1355*L1355,2)</f>
        <v>237.98</v>
      </c>
      <c r="N1355" s="8"/>
    </row>
    <row r="1356" spans="1:14" ht="30.95" customHeight="1" thickBot="1" x14ac:dyDescent="0.25">
      <c r="A1356" s="8"/>
      <c r="B1356" s="8"/>
      <c r="C1356" s="8"/>
      <c r="D1356" s="60" t="s">
        <v>3208</v>
      </c>
      <c r="E1356" s="60"/>
      <c r="F1356" s="60"/>
      <c r="G1356" s="60"/>
      <c r="H1356" s="60"/>
      <c r="I1356" s="60"/>
      <c r="J1356" s="60"/>
      <c r="K1356" s="60"/>
      <c r="L1356" s="60"/>
      <c r="M1356" s="60"/>
      <c r="N1356" s="8"/>
    </row>
    <row r="1357" spans="1:14" ht="15.4" customHeight="1" thickBot="1" x14ac:dyDescent="0.25">
      <c r="A1357" s="8"/>
      <c r="B1357" s="8"/>
      <c r="C1357" s="8"/>
      <c r="D1357" s="8"/>
      <c r="E1357" s="23"/>
      <c r="F1357" s="25" t="s">
        <v>3209</v>
      </c>
      <c r="G1357" s="25" t="s">
        <v>3210</v>
      </c>
      <c r="H1357" s="25" t="s">
        <v>3211</v>
      </c>
      <c r="I1357" s="25" t="s">
        <v>3212</v>
      </c>
      <c r="J1357" s="25" t="s">
        <v>3213</v>
      </c>
      <c r="K1357" s="25" t="s">
        <v>3214</v>
      </c>
      <c r="L1357" s="8"/>
      <c r="M1357" s="8"/>
      <c r="N1357" s="8"/>
    </row>
    <row r="1358" spans="1:14" ht="15.4" customHeight="1" thickBot="1" x14ac:dyDescent="0.25">
      <c r="A1358" s="8"/>
      <c r="B1358" s="8"/>
      <c r="C1358" s="8"/>
      <c r="D1358" s="26"/>
      <c r="E1358" s="27" t="s">
        <v>3215</v>
      </c>
      <c r="F1358" s="28">
        <v>2</v>
      </c>
      <c r="G1358" s="29"/>
      <c r="H1358" s="29"/>
      <c r="I1358" s="29"/>
      <c r="J1358" s="31">
        <f>ROUND(F1358,2)</f>
        <v>2</v>
      </c>
      <c r="K1358" s="33">
        <f>SUM(J1358:J1358)</f>
        <v>2</v>
      </c>
      <c r="L1358" s="8"/>
      <c r="M1358" s="8"/>
      <c r="N1358" s="8"/>
    </row>
    <row r="1359" spans="1:14" ht="15.4" customHeight="1" thickBot="1" x14ac:dyDescent="0.25">
      <c r="A1359" s="12" t="s">
        <v>3216</v>
      </c>
      <c r="B1359" s="6" t="s">
        <v>3217</v>
      </c>
      <c r="C1359" s="6" t="s">
        <v>3218</v>
      </c>
      <c r="D1359" s="60" t="s">
        <v>3219</v>
      </c>
      <c r="E1359" s="60"/>
      <c r="F1359" s="60"/>
      <c r="G1359" s="60"/>
      <c r="H1359" s="60"/>
      <c r="I1359" s="60"/>
      <c r="J1359" s="60"/>
      <c r="K1359" s="22">
        <f>SUM(K1362:K1362)</f>
        <v>2</v>
      </c>
      <c r="L1359" s="22">
        <f>ROUND(154.69*(1+M2/100),2)</f>
        <v>154.69</v>
      </c>
      <c r="M1359" s="22">
        <f>ROUND(K1359*L1359,2)</f>
        <v>309.38</v>
      </c>
      <c r="N1359" s="8"/>
    </row>
    <row r="1360" spans="1:14" ht="21.6" customHeight="1" thickBot="1" x14ac:dyDescent="0.25">
      <c r="A1360" s="8"/>
      <c r="B1360" s="8"/>
      <c r="C1360" s="8"/>
      <c r="D1360" s="60" t="s">
        <v>3220</v>
      </c>
      <c r="E1360" s="60"/>
      <c r="F1360" s="60"/>
      <c r="G1360" s="60"/>
      <c r="H1360" s="60"/>
      <c r="I1360" s="60"/>
      <c r="J1360" s="60"/>
      <c r="K1360" s="60"/>
      <c r="L1360" s="60"/>
      <c r="M1360" s="60"/>
      <c r="N1360" s="8"/>
    </row>
    <row r="1361" spans="1:14" ht="15.4" customHeight="1" thickBot="1" x14ac:dyDescent="0.25">
      <c r="A1361" s="8"/>
      <c r="B1361" s="8"/>
      <c r="C1361" s="8"/>
      <c r="D1361" s="8"/>
      <c r="E1361" s="23"/>
      <c r="F1361" s="25" t="s">
        <v>3221</v>
      </c>
      <c r="G1361" s="25" t="s">
        <v>3222</v>
      </c>
      <c r="H1361" s="25" t="s">
        <v>3223</v>
      </c>
      <c r="I1361" s="25" t="s">
        <v>3224</v>
      </c>
      <c r="J1361" s="25" t="s">
        <v>3225</v>
      </c>
      <c r="K1361" s="25" t="s">
        <v>3226</v>
      </c>
      <c r="L1361" s="8"/>
      <c r="M1361" s="8"/>
      <c r="N1361" s="8"/>
    </row>
    <row r="1362" spans="1:14" ht="15.4" customHeight="1" thickBot="1" x14ac:dyDescent="0.25">
      <c r="A1362" s="8"/>
      <c r="B1362" s="8"/>
      <c r="C1362" s="8"/>
      <c r="D1362" s="26"/>
      <c r="E1362" s="27" t="s">
        <v>3227</v>
      </c>
      <c r="F1362" s="28">
        <v>2</v>
      </c>
      <c r="G1362" s="29"/>
      <c r="H1362" s="29"/>
      <c r="I1362" s="29"/>
      <c r="J1362" s="31">
        <f>ROUND(F1362,2)</f>
        <v>2</v>
      </c>
      <c r="K1362" s="33">
        <f>SUM(J1362:J1362)</f>
        <v>2</v>
      </c>
      <c r="L1362" s="8"/>
      <c r="M1362" s="8"/>
      <c r="N1362" s="8"/>
    </row>
    <row r="1363" spans="1:14" ht="15.4" customHeight="1" thickBot="1" x14ac:dyDescent="0.25">
      <c r="A1363" s="12" t="s">
        <v>3228</v>
      </c>
      <c r="B1363" s="6" t="s">
        <v>3229</v>
      </c>
      <c r="C1363" s="6" t="s">
        <v>3230</v>
      </c>
      <c r="D1363" s="60" t="s">
        <v>3231</v>
      </c>
      <c r="E1363" s="60"/>
      <c r="F1363" s="60"/>
      <c r="G1363" s="60"/>
      <c r="H1363" s="60"/>
      <c r="I1363" s="60"/>
      <c r="J1363" s="60"/>
      <c r="K1363" s="22">
        <f>SUM(K1366:K1366)</f>
        <v>2</v>
      </c>
      <c r="L1363" s="22">
        <f>ROUND(91.62*(1+M2/100),2)</f>
        <v>91.62</v>
      </c>
      <c r="M1363" s="22">
        <f>ROUND(K1363*L1363,2)</f>
        <v>183.24</v>
      </c>
      <c r="N1363" s="8"/>
    </row>
    <row r="1364" spans="1:14" ht="21.6" customHeight="1" thickBot="1" x14ac:dyDescent="0.25">
      <c r="A1364" s="8"/>
      <c r="B1364" s="8"/>
      <c r="C1364" s="8"/>
      <c r="D1364" s="60" t="s">
        <v>3232</v>
      </c>
      <c r="E1364" s="60"/>
      <c r="F1364" s="60"/>
      <c r="G1364" s="60"/>
      <c r="H1364" s="60"/>
      <c r="I1364" s="60"/>
      <c r="J1364" s="60"/>
      <c r="K1364" s="60"/>
      <c r="L1364" s="60"/>
      <c r="M1364" s="60"/>
      <c r="N1364" s="8"/>
    </row>
    <row r="1365" spans="1:14" ht="15.4" customHeight="1" thickBot="1" x14ac:dyDescent="0.25">
      <c r="A1365" s="8"/>
      <c r="B1365" s="8"/>
      <c r="C1365" s="8"/>
      <c r="D1365" s="8"/>
      <c r="E1365" s="23"/>
      <c r="F1365" s="25" t="s">
        <v>3233</v>
      </c>
      <c r="G1365" s="25" t="s">
        <v>3234</v>
      </c>
      <c r="H1365" s="25" t="s">
        <v>3235</v>
      </c>
      <c r="I1365" s="25" t="s">
        <v>3236</v>
      </c>
      <c r="J1365" s="25" t="s">
        <v>3237</v>
      </c>
      <c r="K1365" s="25" t="s">
        <v>3238</v>
      </c>
      <c r="L1365" s="8"/>
      <c r="M1365" s="8"/>
      <c r="N1365" s="8"/>
    </row>
    <row r="1366" spans="1:14" ht="15.4" customHeight="1" thickBot="1" x14ac:dyDescent="0.25">
      <c r="A1366" s="8"/>
      <c r="B1366" s="8"/>
      <c r="C1366" s="8"/>
      <c r="D1366" s="26"/>
      <c r="E1366" s="27" t="s">
        <v>3239</v>
      </c>
      <c r="F1366" s="28">
        <v>2</v>
      </c>
      <c r="G1366" s="29"/>
      <c r="H1366" s="29"/>
      <c r="I1366" s="29"/>
      <c r="J1366" s="31">
        <f>ROUND(F1366,2)</f>
        <v>2</v>
      </c>
      <c r="K1366" s="33">
        <f>SUM(J1366:J1366)</f>
        <v>2</v>
      </c>
      <c r="L1366" s="8"/>
      <c r="M1366" s="8"/>
      <c r="N1366" s="8"/>
    </row>
    <row r="1367" spans="1:14" ht="15.4" customHeight="1" thickBot="1" x14ac:dyDescent="0.25">
      <c r="A1367" s="12" t="s">
        <v>3240</v>
      </c>
      <c r="B1367" s="6" t="s">
        <v>3241</v>
      </c>
      <c r="C1367" s="6" t="s">
        <v>3242</v>
      </c>
      <c r="D1367" s="60" t="s">
        <v>3243</v>
      </c>
      <c r="E1367" s="60"/>
      <c r="F1367" s="60"/>
      <c r="G1367" s="60"/>
      <c r="H1367" s="60"/>
      <c r="I1367" s="60"/>
      <c r="J1367" s="60"/>
      <c r="K1367" s="22">
        <f>SUM(K1370:K1371)</f>
        <v>2</v>
      </c>
      <c r="L1367" s="22">
        <f>ROUND(23.79*(1+M2/100),2)</f>
        <v>23.79</v>
      </c>
      <c r="M1367" s="22">
        <f>ROUND(K1367*L1367,2)</f>
        <v>47.58</v>
      </c>
      <c r="N1367" s="8"/>
    </row>
    <row r="1368" spans="1:14" ht="12.2" customHeight="1" thickBot="1" x14ac:dyDescent="0.25">
      <c r="A1368" s="8"/>
      <c r="B1368" s="8"/>
      <c r="C1368" s="8"/>
      <c r="D1368" s="60" t="s">
        <v>3244</v>
      </c>
      <c r="E1368" s="60"/>
      <c r="F1368" s="60"/>
      <c r="G1368" s="60"/>
      <c r="H1368" s="60"/>
      <c r="I1368" s="60"/>
      <c r="J1368" s="60"/>
      <c r="K1368" s="60"/>
      <c r="L1368" s="60"/>
      <c r="M1368" s="60"/>
      <c r="N1368" s="8"/>
    </row>
    <row r="1369" spans="1:14" ht="15.4" customHeight="1" thickBot="1" x14ac:dyDescent="0.25">
      <c r="A1369" s="8"/>
      <c r="B1369" s="8"/>
      <c r="C1369" s="8"/>
      <c r="D1369" s="8"/>
      <c r="E1369" s="23"/>
      <c r="F1369" s="25" t="s">
        <v>3245</v>
      </c>
      <c r="G1369" s="25" t="s">
        <v>3246</v>
      </c>
      <c r="H1369" s="25" t="s">
        <v>3247</v>
      </c>
      <c r="I1369" s="25" t="s">
        <v>3248</v>
      </c>
      <c r="J1369" s="25" t="s">
        <v>3249</v>
      </c>
      <c r="K1369" s="25" t="s">
        <v>3250</v>
      </c>
      <c r="L1369" s="8"/>
      <c r="M1369" s="8"/>
      <c r="N1369" s="8"/>
    </row>
    <row r="1370" spans="1:14" ht="15.4" customHeight="1" thickBot="1" x14ac:dyDescent="0.25">
      <c r="A1370" s="8"/>
      <c r="B1370" s="8"/>
      <c r="C1370" s="8"/>
      <c r="D1370" s="26"/>
      <c r="E1370" s="27" t="s">
        <v>3251</v>
      </c>
      <c r="F1370" s="28">
        <v>1</v>
      </c>
      <c r="G1370" s="29"/>
      <c r="H1370" s="29"/>
      <c r="I1370" s="29"/>
      <c r="J1370" s="31">
        <f>ROUND(F1370,2)</f>
        <v>1</v>
      </c>
      <c r="K1370" s="35"/>
      <c r="L1370" s="8"/>
      <c r="M1370" s="8"/>
      <c r="N1370" s="8"/>
    </row>
    <row r="1371" spans="1:14" ht="15.4" customHeight="1" thickBot="1" x14ac:dyDescent="0.25">
      <c r="A1371" s="8"/>
      <c r="B1371" s="8"/>
      <c r="C1371" s="8"/>
      <c r="D1371" s="26"/>
      <c r="E1371" s="6" t="s">
        <v>3252</v>
      </c>
      <c r="F1371" s="4">
        <v>1</v>
      </c>
      <c r="G1371" s="22"/>
      <c r="H1371" s="22"/>
      <c r="I1371" s="22"/>
      <c r="J1371" s="30">
        <f>ROUND(F1371,2)</f>
        <v>1</v>
      </c>
      <c r="K1371" s="32">
        <f>SUM(J1370:J1371)</f>
        <v>2</v>
      </c>
      <c r="L1371" s="8"/>
      <c r="M1371" s="8"/>
      <c r="N1371" s="8"/>
    </row>
    <row r="1372" spans="1:14" ht="15.4" customHeight="1" thickBot="1" x14ac:dyDescent="0.25">
      <c r="A1372" s="12" t="s">
        <v>3253</v>
      </c>
      <c r="B1372" s="6" t="s">
        <v>3254</v>
      </c>
      <c r="C1372" s="6" t="s">
        <v>3255</v>
      </c>
      <c r="D1372" s="60" t="s">
        <v>3256</v>
      </c>
      <c r="E1372" s="60"/>
      <c r="F1372" s="60"/>
      <c r="G1372" s="60"/>
      <c r="H1372" s="60"/>
      <c r="I1372" s="60"/>
      <c r="J1372" s="60"/>
      <c r="K1372" s="22">
        <f>SUM(K1375:K1375)</f>
        <v>2</v>
      </c>
      <c r="L1372" s="22">
        <f>ROUND(416.47*(1+M2/100),2)</f>
        <v>416.47</v>
      </c>
      <c r="M1372" s="22">
        <f>ROUND(K1372*L1372,2)</f>
        <v>832.94</v>
      </c>
      <c r="N1372" s="8"/>
    </row>
    <row r="1373" spans="1:14" ht="21.6" customHeight="1" thickBot="1" x14ac:dyDescent="0.25">
      <c r="A1373" s="8"/>
      <c r="B1373" s="8"/>
      <c r="C1373" s="8"/>
      <c r="D1373" s="60" t="s">
        <v>3257</v>
      </c>
      <c r="E1373" s="60"/>
      <c r="F1373" s="60"/>
      <c r="G1373" s="60"/>
      <c r="H1373" s="60"/>
      <c r="I1373" s="60"/>
      <c r="J1373" s="60"/>
      <c r="K1373" s="60"/>
      <c r="L1373" s="60"/>
      <c r="M1373" s="60"/>
      <c r="N1373" s="8"/>
    </row>
    <row r="1374" spans="1:14" ht="15.4" customHeight="1" thickBot="1" x14ac:dyDescent="0.25">
      <c r="A1374" s="8"/>
      <c r="B1374" s="8"/>
      <c r="C1374" s="8"/>
      <c r="D1374" s="8"/>
      <c r="E1374" s="23"/>
      <c r="F1374" s="25" t="s">
        <v>3258</v>
      </c>
      <c r="G1374" s="25" t="s">
        <v>3259</v>
      </c>
      <c r="H1374" s="25" t="s">
        <v>3260</v>
      </c>
      <c r="I1374" s="25" t="s">
        <v>3261</v>
      </c>
      <c r="J1374" s="25" t="s">
        <v>3262</v>
      </c>
      <c r="K1374" s="25" t="s">
        <v>3263</v>
      </c>
      <c r="L1374" s="8"/>
      <c r="M1374" s="8"/>
      <c r="N1374" s="8"/>
    </row>
    <row r="1375" spans="1:14" ht="15.4" customHeight="1" thickBot="1" x14ac:dyDescent="0.25">
      <c r="A1375" s="8"/>
      <c r="B1375" s="8"/>
      <c r="C1375" s="8"/>
      <c r="D1375" s="26"/>
      <c r="E1375" s="27" t="s">
        <v>3264</v>
      </c>
      <c r="F1375" s="28">
        <v>2</v>
      </c>
      <c r="G1375" s="29"/>
      <c r="H1375" s="29"/>
      <c r="I1375" s="29"/>
      <c r="J1375" s="31">
        <f>ROUND(F1375,2)</f>
        <v>2</v>
      </c>
      <c r="K1375" s="33">
        <f>SUM(J1375:J1375)</f>
        <v>2</v>
      </c>
      <c r="L1375" s="8"/>
      <c r="M1375" s="8"/>
      <c r="N1375" s="8"/>
    </row>
    <row r="1376" spans="1:14" ht="15.4" customHeight="1" thickBot="1" x14ac:dyDescent="0.25">
      <c r="A1376" s="12" t="s">
        <v>3265</v>
      </c>
      <c r="B1376" s="6" t="s">
        <v>3266</v>
      </c>
      <c r="C1376" s="6" t="s">
        <v>3267</v>
      </c>
      <c r="D1376" s="60" t="s">
        <v>3268</v>
      </c>
      <c r="E1376" s="60"/>
      <c r="F1376" s="60"/>
      <c r="G1376" s="60"/>
      <c r="H1376" s="60"/>
      <c r="I1376" s="60"/>
      <c r="J1376" s="60"/>
      <c r="K1376" s="22">
        <f>SUM(K1379:K1379)</f>
        <v>1</v>
      </c>
      <c r="L1376" s="22">
        <f>ROUND(951.94*(1+M2/100),2)</f>
        <v>951.94</v>
      </c>
      <c r="M1376" s="22">
        <f>ROUND(K1376*L1376,2)</f>
        <v>951.94</v>
      </c>
      <c r="N1376" s="8"/>
    </row>
    <row r="1377" spans="1:14" ht="40.35" customHeight="1" thickBot="1" x14ac:dyDescent="0.25">
      <c r="A1377" s="8"/>
      <c r="B1377" s="8"/>
      <c r="C1377" s="8"/>
      <c r="D1377" s="60" t="s">
        <v>3269</v>
      </c>
      <c r="E1377" s="60"/>
      <c r="F1377" s="60"/>
      <c r="G1377" s="60"/>
      <c r="H1377" s="60"/>
      <c r="I1377" s="60"/>
      <c r="J1377" s="60"/>
      <c r="K1377" s="60"/>
      <c r="L1377" s="60"/>
      <c r="M1377" s="60"/>
      <c r="N1377" s="8"/>
    </row>
    <row r="1378" spans="1:14" ht="15.4" customHeight="1" thickBot="1" x14ac:dyDescent="0.25">
      <c r="A1378" s="8"/>
      <c r="B1378" s="8"/>
      <c r="C1378" s="8"/>
      <c r="D1378" s="8"/>
      <c r="E1378" s="23"/>
      <c r="F1378" s="25" t="s">
        <v>3270</v>
      </c>
      <c r="G1378" s="25" t="s">
        <v>3271</v>
      </c>
      <c r="H1378" s="25" t="s">
        <v>3272</v>
      </c>
      <c r="I1378" s="25" t="s">
        <v>3273</v>
      </c>
      <c r="J1378" s="25" t="s">
        <v>3274</v>
      </c>
      <c r="K1378" s="25" t="s">
        <v>3275</v>
      </c>
      <c r="L1378" s="8"/>
      <c r="M1378" s="8"/>
      <c r="N1378" s="8"/>
    </row>
    <row r="1379" spans="1:14" ht="15.4" customHeight="1" thickBot="1" x14ac:dyDescent="0.25">
      <c r="A1379" s="8"/>
      <c r="B1379" s="8"/>
      <c r="C1379" s="8"/>
      <c r="D1379" s="26"/>
      <c r="E1379" s="27" t="s">
        <v>3276</v>
      </c>
      <c r="F1379" s="28">
        <v>1</v>
      </c>
      <c r="G1379" s="29"/>
      <c r="H1379" s="29"/>
      <c r="I1379" s="29"/>
      <c r="J1379" s="31">
        <f>ROUND(F1379,2)</f>
        <v>1</v>
      </c>
      <c r="K1379" s="33">
        <f>SUM(J1379:J1379)</f>
        <v>1</v>
      </c>
      <c r="L1379" s="8"/>
      <c r="M1379" s="8"/>
      <c r="N1379" s="8"/>
    </row>
    <row r="1380" spans="1:14" ht="15.4" customHeight="1" thickBot="1" x14ac:dyDescent="0.25">
      <c r="A1380" s="36"/>
      <c r="B1380" s="36"/>
      <c r="C1380" s="36"/>
      <c r="D1380" s="37" t="s">
        <v>3277</v>
      </c>
      <c r="E1380" s="38"/>
      <c r="F1380" s="38"/>
      <c r="G1380" s="38"/>
      <c r="H1380" s="38"/>
      <c r="I1380" s="38"/>
      <c r="J1380" s="38"/>
      <c r="K1380" s="38"/>
      <c r="L1380" s="39">
        <f>M1302+M1308+M1313+M1317+M1321+M1326+M1330+M1335+M1339+M1343+M1347+M1351+M1355+M1359+M1363+M1367+M1372+M1376</f>
        <v>9675.31</v>
      </c>
      <c r="M1380" s="39">
        <f>ROUND(L1380,2)</f>
        <v>9675.31</v>
      </c>
      <c r="N1380" s="8"/>
    </row>
    <row r="1381" spans="1:14" ht="15.4" customHeight="1" thickBot="1" x14ac:dyDescent="0.25">
      <c r="A1381" s="43"/>
      <c r="B1381" s="43"/>
      <c r="C1381" s="43"/>
      <c r="D1381" s="44" t="s">
        <v>3278</v>
      </c>
      <c r="E1381" s="45"/>
      <c r="F1381" s="45"/>
      <c r="G1381" s="45"/>
      <c r="H1381" s="45"/>
      <c r="I1381" s="45"/>
      <c r="J1381" s="45"/>
      <c r="K1381" s="45"/>
      <c r="L1381" s="46">
        <f>M1165+M1195+M1300+M1380</f>
        <v>67267.66</v>
      </c>
      <c r="M1381" s="46">
        <f>ROUND(L1381,2)</f>
        <v>67267.66</v>
      </c>
      <c r="N1381" s="8"/>
    </row>
    <row r="1382" spans="1:14" ht="15.4" customHeight="1" thickBot="1" x14ac:dyDescent="0.25">
      <c r="A1382" s="47" t="s">
        <v>3279</v>
      </c>
      <c r="B1382" s="47" t="s">
        <v>3280</v>
      </c>
      <c r="C1382" s="48"/>
      <c r="D1382" s="62" t="s">
        <v>3281</v>
      </c>
      <c r="E1382" s="62"/>
      <c r="F1382" s="62"/>
      <c r="G1382" s="62"/>
      <c r="H1382" s="62"/>
      <c r="I1382" s="62"/>
      <c r="J1382" s="62"/>
      <c r="K1382" s="48"/>
      <c r="L1382" s="49">
        <f>L1579</f>
        <v>134147.72</v>
      </c>
      <c r="M1382" s="49">
        <f>ROUND(L1382,2)</f>
        <v>134147.72</v>
      </c>
      <c r="N1382" s="8"/>
    </row>
    <row r="1383" spans="1:14" ht="15.4" customHeight="1" thickBot="1" x14ac:dyDescent="0.25">
      <c r="A1383" s="19" t="s">
        <v>3282</v>
      </c>
      <c r="B1383" s="19" t="s">
        <v>3283</v>
      </c>
      <c r="C1383" s="20"/>
      <c r="D1383" s="59" t="s">
        <v>3284</v>
      </c>
      <c r="E1383" s="59"/>
      <c r="F1383" s="59"/>
      <c r="G1383" s="59"/>
      <c r="H1383" s="59"/>
      <c r="I1383" s="59"/>
      <c r="J1383" s="59"/>
      <c r="K1383" s="20"/>
      <c r="L1383" s="21">
        <f>L1471</f>
        <v>85168.249999999985</v>
      </c>
      <c r="M1383" s="21">
        <f>ROUND(L1383,2)</f>
        <v>85168.25</v>
      </c>
      <c r="N1383" s="8"/>
    </row>
    <row r="1384" spans="1:14" ht="15.4" customHeight="1" thickBot="1" x14ac:dyDescent="0.25">
      <c r="A1384" s="12" t="s">
        <v>3285</v>
      </c>
      <c r="B1384" s="6" t="s">
        <v>3286</v>
      </c>
      <c r="C1384" s="6" t="s">
        <v>3287</v>
      </c>
      <c r="D1384" s="60" t="s">
        <v>3288</v>
      </c>
      <c r="E1384" s="60"/>
      <c r="F1384" s="60"/>
      <c r="G1384" s="60"/>
      <c r="H1384" s="60"/>
      <c r="I1384" s="60"/>
      <c r="J1384" s="60"/>
      <c r="K1384" s="22">
        <f>SUM(K1387:K1387)</f>
        <v>1</v>
      </c>
      <c r="L1384" s="22">
        <f>ROUND(1784.97*(1+M2/100),2)</f>
        <v>1784.97</v>
      </c>
      <c r="M1384" s="22">
        <f>ROUND(K1384*L1384,2)</f>
        <v>1784.97</v>
      </c>
      <c r="N1384" s="8"/>
    </row>
    <row r="1385" spans="1:14" ht="30.95" customHeight="1" thickBot="1" x14ac:dyDescent="0.25">
      <c r="A1385" s="8"/>
      <c r="B1385" s="8"/>
      <c r="C1385" s="8"/>
      <c r="D1385" s="60" t="s">
        <v>3289</v>
      </c>
      <c r="E1385" s="60"/>
      <c r="F1385" s="60"/>
      <c r="G1385" s="60"/>
      <c r="H1385" s="60"/>
      <c r="I1385" s="60"/>
      <c r="J1385" s="60"/>
      <c r="K1385" s="60"/>
      <c r="L1385" s="60"/>
      <c r="M1385" s="60"/>
      <c r="N1385" s="8"/>
    </row>
    <row r="1386" spans="1:14" ht="15.4" customHeight="1" thickBot="1" x14ac:dyDescent="0.25">
      <c r="A1386" s="8"/>
      <c r="B1386" s="8"/>
      <c r="C1386" s="8"/>
      <c r="D1386" s="8"/>
      <c r="E1386" s="23"/>
      <c r="F1386" s="25" t="s">
        <v>3290</v>
      </c>
      <c r="G1386" s="25" t="s">
        <v>3291</v>
      </c>
      <c r="H1386" s="25" t="s">
        <v>3292</v>
      </c>
      <c r="I1386" s="25" t="s">
        <v>3293</v>
      </c>
      <c r="J1386" s="25" t="s">
        <v>3294</v>
      </c>
      <c r="K1386" s="25" t="s">
        <v>3295</v>
      </c>
      <c r="L1386" s="8"/>
      <c r="M1386" s="8"/>
      <c r="N1386" s="8"/>
    </row>
    <row r="1387" spans="1:14" ht="15.4" customHeight="1" thickBot="1" x14ac:dyDescent="0.25">
      <c r="A1387" s="8"/>
      <c r="B1387" s="8"/>
      <c r="C1387" s="8"/>
      <c r="D1387" s="26"/>
      <c r="E1387" s="27"/>
      <c r="F1387" s="28">
        <v>1</v>
      </c>
      <c r="G1387" s="29"/>
      <c r="H1387" s="29"/>
      <c r="I1387" s="29"/>
      <c r="J1387" s="31">
        <f>ROUND(F1387,2)</f>
        <v>1</v>
      </c>
      <c r="K1387" s="33">
        <f>SUM(J1387:J1387)</f>
        <v>1</v>
      </c>
      <c r="L1387" s="8"/>
      <c r="M1387" s="8"/>
      <c r="N1387" s="8"/>
    </row>
    <row r="1388" spans="1:14" ht="15.4" customHeight="1" thickBot="1" x14ac:dyDescent="0.25">
      <c r="A1388" s="12" t="s">
        <v>3296</v>
      </c>
      <c r="B1388" s="6" t="s">
        <v>3297</v>
      </c>
      <c r="C1388" s="6" t="s">
        <v>3298</v>
      </c>
      <c r="D1388" s="60" t="s">
        <v>3299</v>
      </c>
      <c r="E1388" s="60"/>
      <c r="F1388" s="60"/>
      <c r="G1388" s="60"/>
      <c r="H1388" s="60"/>
      <c r="I1388" s="60"/>
      <c r="J1388" s="60"/>
      <c r="K1388" s="22">
        <f>SUM(K1391:K1392)</f>
        <v>2</v>
      </c>
      <c r="L1388" s="22">
        <f>ROUND(1011.48*(1+M2/100),2)</f>
        <v>1011.48</v>
      </c>
      <c r="M1388" s="22">
        <f>ROUND(K1388*L1388,2)</f>
        <v>2022.96</v>
      </c>
      <c r="N1388" s="8"/>
    </row>
    <row r="1389" spans="1:14" ht="68.45" customHeight="1" thickBot="1" x14ac:dyDescent="0.25">
      <c r="A1389" s="8"/>
      <c r="B1389" s="8"/>
      <c r="C1389" s="8"/>
      <c r="D1389" s="60" t="s">
        <v>3300</v>
      </c>
      <c r="E1389" s="60"/>
      <c r="F1389" s="60"/>
      <c r="G1389" s="60"/>
      <c r="H1389" s="60"/>
      <c r="I1389" s="60"/>
      <c r="J1389" s="60"/>
      <c r="K1389" s="60"/>
      <c r="L1389" s="60"/>
      <c r="M1389" s="60"/>
      <c r="N1389" s="8"/>
    </row>
    <row r="1390" spans="1:14" ht="15.4" customHeight="1" thickBot="1" x14ac:dyDescent="0.25">
      <c r="A1390" s="8"/>
      <c r="B1390" s="8"/>
      <c r="C1390" s="8"/>
      <c r="D1390" s="8"/>
      <c r="E1390" s="23"/>
      <c r="F1390" s="25" t="s">
        <v>3301</v>
      </c>
      <c r="G1390" s="25" t="s">
        <v>3302</v>
      </c>
      <c r="H1390" s="25" t="s">
        <v>3303</v>
      </c>
      <c r="I1390" s="25" t="s">
        <v>3304</v>
      </c>
      <c r="J1390" s="25" t="s">
        <v>3305</v>
      </c>
      <c r="K1390" s="25" t="s">
        <v>3306</v>
      </c>
      <c r="L1390" s="8"/>
      <c r="M1390" s="8"/>
      <c r="N1390" s="8"/>
    </row>
    <row r="1391" spans="1:14" ht="15.4" customHeight="1" thickBot="1" x14ac:dyDescent="0.25">
      <c r="A1391" s="8"/>
      <c r="B1391" s="8"/>
      <c r="C1391" s="8"/>
      <c r="D1391" s="26"/>
      <c r="E1391" s="27" t="s">
        <v>3307</v>
      </c>
      <c r="F1391" s="28">
        <v>1</v>
      </c>
      <c r="G1391" s="29"/>
      <c r="H1391" s="29"/>
      <c r="I1391" s="29"/>
      <c r="J1391" s="31">
        <f>ROUND(F1391,2)</f>
        <v>1</v>
      </c>
      <c r="K1391" s="35"/>
      <c r="L1391" s="8"/>
      <c r="M1391" s="8"/>
      <c r="N1391" s="8"/>
    </row>
    <row r="1392" spans="1:14" ht="15.4" customHeight="1" thickBot="1" x14ac:dyDescent="0.25">
      <c r="A1392" s="8"/>
      <c r="B1392" s="8"/>
      <c r="C1392" s="8"/>
      <c r="D1392" s="26"/>
      <c r="E1392" s="6" t="s">
        <v>3308</v>
      </c>
      <c r="F1392" s="4">
        <v>1</v>
      </c>
      <c r="G1392" s="22"/>
      <c r="H1392" s="22"/>
      <c r="I1392" s="22"/>
      <c r="J1392" s="30">
        <f>ROUND(F1392,2)</f>
        <v>1</v>
      </c>
      <c r="K1392" s="32">
        <f>SUM(J1391:J1392)</f>
        <v>2</v>
      </c>
      <c r="L1392" s="8"/>
      <c r="M1392" s="8"/>
      <c r="N1392" s="8"/>
    </row>
    <row r="1393" spans="1:14" ht="15.4" customHeight="1" thickBot="1" x14ac:dyDescent="0.25">
      <c r="A1393" s="12" t="s">
        <v>3309</v>
      </c>
      <c r="B1393" s="6" t="s">
        <v>3310</v>
      </c>
      <c r="C1393" s="6" t="s">
        <v>3311</v>
      </c>
      <c r="D1393" s="60" t="s">
        <v>3312</v>
      </c>
      <c r="E1393" s="60"/>
      <c r="F1393" s="60"/>
      <c r="G1393" s="60"/>
      <c r="H1393" s="60"/>
      <c r="I1393" s="60"/>
      <c r="J1393" s="60"/>
      <c r="K1393" s="22">
        <f>SUM(K1396:K1396)</f>
        <v>1</v>
      </c>
      <c r="L1393" s="22">
        <f>ROUND(981.85*(1+M2/100),2)</f>
        <v>981.85</v>
      </c>
      <c r="M1393" s="22">
        <f>ROUND(K1393*L1393,2)</f>
        <v>981.85</v>
      </c>
      <c r="N1393" s="8"/>
    </row>
    <row r="1394" spans="1:14" ht="77.849999999999994" customHeight="1" thickBot="1" x14ac:dyDescent="0.25">
      <c r="A1394" s="8"/>
      <c r="B1394" s="8"/>
      <c r="C1394" s="8"/>
      <c r="D1394" s="60" t="s">
        <v>3313</v>
      </c>
      <c r="E1394" s="60"/>
      <c r="F1394" s="60"/>
      <c r="G1394" s="60"/>
      <c r="H1394" s="60"/>
      <c r="I1394" s="60"/>
      <c r="J1394" s="60"/>
      <c r="K1394" s="60"/>
      <c r="L1394" s="60"/>
      <c r="M1394" s="60"/>
      <c r="N1394" s="8"/>
    </row>
    <row r="1395" spans="1:14" ht="15.4" customHeight="1" thickBot="1" x14ac:dyDescent="0.25">
      <c r="A1395" s="8"/>
      <c r="B1395" s="8"/>
      <c r="C1395" s="8"/>
      <c r="D1395" s="8"/>
      <c r="E1395" s="23"/>
      <c r="F1395" s="25" t="s">
        <v>3314</v>
      </c>
      <c r="G1395" s="25" t="s">
        <v>3315</v>
      </c>
      <c r="H1395" s="25" t="s">
        <v>3316</v>
      </c>
      <c r="I1395" s="25" t="s">
        <v>3317</v>
      </c>
      <c r="J1395" s="25" t="s">
        <v>3318</v>
      </c>
      <c r="K1395" s="25" t="s">
        <v>3319</v>
      </c>
      <c r="L1395" s="8"/>
      <c r="M1395" s="8"/>
      <c r="N1395" s="8"/>
    </row>
    <row r="1396" spans="1:14" ht="21.6" customHeight="1" thickBot="1" x14ac:dyDescent="0.25">
      <c r="A1396" s="8"/>
      <c r="B1396" s="8"/>
      <c r="C1396" s="8"/>
      <c r="D1396" s="26"/>
      <c r="E1396" s="27" t="s">
        <v>3320</v>
      </c>
      <c r="F1396" s="28">
        <v>1</v>
      </c>
      <c r="G1396" s="29"/>
      <c r="H1396" s="29"/>
      <c r="I1396" s="29"/>
      <c r="J1396" s="31">
        <f>ROUND(F1396,2)</f>
        <v>1</v>
      </c>
      <c r="K1396" s="33">
        <f>SUM(J1396:J1396)</f>
        <v>1</v>
      </c>
      <c r="L1396" s="8"/>
      <c r="M1396" s="8"/>
      <c r="N1396" s="8"/>
    </row>
    <row r="1397" spans="1:14" ht="15.4" customHeight="1" thickBot="1" x14ac:dyDescent="0.25">
      <c r="A1397" s="12" t="s">
        <v>3321</v>
      </c>
      <c r="B1397" s="6" t="s">
        <v>3322</v>
      </c>
      <c r="C1397" s="6" t="s">
        <v>3323</v>
      </c>
      <c r="D1397" s="60" t="s">
        <v>3324</v>
      </c>
      <c r="E1397" s="60"/>
      <c r="F1397" s="60"/>
      <c r="G1397" s="60"/>
      <c r="H1397" s="60"/>
      <c r="I1397" s="60"/>
      <c r="J1397" s="60"/>
      <c r="K1397" s="22">
        <f>SUM(K1400:K1400)</f>
        <v>1</v>
      </c>
      <c r="L1397" s="22">
        <f>ROUND(4771.7*(1+M2/100),2)</f>
        <v>4771.7</v>
      </c>
      <c r="M1397" s="22">
        <f>ROUND(K1397*L1397,2)</f>
        <v>4771.7</v>
      </c>
      <c r="N1397" s="8"/>
    </row>
    <row r="1398" spans="1:14" ht="87.2" customHeight="1" thickBot="1" x14ac:dyDescent="0.25">
      <c r="A1398" s="8"/>
      <c r="B1398" s="8"/>
      <c r="C1398" s="8"/>
      <c r="D1398" s="60" t="s">
        <v>3325</v>
      </c>
      <c r="E1398" s="60"/>
      <c r="F1398" s="60"/>
      <c r="G1398" s="60"/>
      <c r="H1398" s="60"/>
      <c r="I1398" s="60"/>
      <c r="J1398" s="60"/>
      <c r="K1398" s="60"/>
      <c r="L1398" s="60"/>
      <c r="M1398" s="60"/>
      <c r="N1398" s="8"/>
    </row>
    <row r="1399" spans="1:14" ht="15.4" customHeight="1" thickBot="1" x14ac:dyDescent="0.25">
      <c r="A1399" s="8"/>
      <c r="B1399" s="8"/>
      <c r="C1399" s="8"/>
      <c r="D1399" s="8"/>
      <c r="E1399" s="23"/>
      <c r="F1399" s="25" t="s">
        <v>3326</v>
      </c>
      <c r="G1399" s="25" t="s">
        <v>3327</v>
      </c>
      <c r="H1399" s="25" t="s">
        <v>3328</v>
      </c>
      <c r="I1399" s="25" t="s">
        <v>3329</v>
      </c>
      <c r="J1399" s="25" t="s">
        <v>3330</v>
      </c>
      <c r="K1399" s="25" t="s">
        <v>3331</v>
      </c>
      <c r="L1399" s="8"/>
      <c r="M1399" s="8"/>
      <c r="N1399" s="8"/>
    </row>
    <row r="1400" spans="1:14" ht="15.4" customHeight="1" thickBot="1" x14ac:dyDescent="0.25">
      <c r="A1400" s="8"/>
      <c r="B1400" s="8"/>
      <c r="C1400" s="8"/>
      <c r="D1400" s="26"/>
      <c r="E1400" s="27" t="s">
        <v>3332</v>
      </c>
      <c r="F1400" s="28">
        <v>1</v>
      </c>
      <c r="G1400" s="29"/>
      <c r="H1400" s="29"/>
      <c r="I1400" s="29"/>
      <c r="J1400" s="31">
        <f>ROUND(F1400,2)</f>
        <v>1</v>
      </c>
      <c r="K1400" s="33">
        <f>SUM(J1400:J1400)</f>
        <v>1</v>
      </c>
      <c r="L1400" s="8"/>
      <c r="M1400" s="8"/>
      <c r="N1400" s="8"/>
    </row>
    <row r="1401" spans="1:14" ht="15.4" customHeight="1" thickBot="1" x14ac:dyDescent="0.25">
      <c r="A1401" s="12" t="s">
        <v>3333</v>
      </c>
      <c r="B1401" s="6" t="s">
        <v>3334</v>
      </c>
      <c r="C1401" s="6" t="s">
        <v>3335</v>
      </c>
      <c r="D1401" s="60" t="s">
        <v>3336</v>
      </c>
      <c r="E1401" s="60"/>
      <c r="F1401" s="60"/>
      <c r="G1401" s="60"/>
      <c r="H1401" s="60"/>
      <c r="I1401" s="60"/>
      <c r="J1401" s="60"/>
      <c r="K1401" s="22">
        <f>SUM(K1404:K1404)</f>
        <v>1</v>
      </c>
      <c r="L1401" s="22">
        <f>ROUND(6544.68*(1+M2/100),2)</f>
        <v>6544.68</v>
      </c>
      <c r="M1401" s="22">
        <f>ROUND(K1401*L1401,2)</f>
        <v>6544.68</v>
      </c>
      <c r="N1401" s="8"/>
    </row>
    <row r="1402" spans="1:14" ht="87.2" customHeight="1" thickBot="1" x14ac:dyDescent="0.25">
      <c r="A1402" s="8"/>
      <c r="B1402" s="8"/>
      <c r="C1402" s="8"/>
      <c r="D1402" s="60" t="s">
        <v>3337</v>
      </c>
      <c r="E1402" s="60"/>
      <c r="F1402" s="60"/>
      <c r="G1402" s="60"/>
      <c r="H1402" s="60"/>
      <c r="I1402" s="60"/>
      <c r="J1402" s="60"/>
      <c r="K1402" s="60"/>
      <c r="L1402" s="60"/>
      <c r="M1402" s="60"/>
      <c r="N1402" s="8"/>
    </row>
    <row r="1403" spans="1:14" ht="15.4" customHeight="1" thickBot="1" x14ac:dyDescent="0.25">
      <c r="A1403" s="8"/>
      <c r="B1403" s="8"/>
      <c r="C1403" s="8"/>
      <c r="D1403" s="8"/>
      <c r="E1403" s="23"/>
      <c r="F1403" s="25" t="s">
        <v>3338</v>
      </c>
      <c r="G1403" s="25" t="s">
        <v>3339</v>
      </c>
      <c r="H1403" s="25" t="s">
        <v>3340</v>
      </c>
      <c r="I1403" s="25" t="s">
        <v>3341</v>
      </c>
      <c r="J1403" s="25" t="s">
        <v>3342</v>
      </c>
      <c r="K1403" s="25" t="s">
        <v>3343</v>
      </c>
      <c r="L1403" s="8"/>
      <c r="M1403" s="8"/>
      <c r="N1403" s="8"/>
    </row>
    <row r="1404" spans="1:14" ht="15.4" customHeight="1" thickBot="1" x14ac:dyDescent="0.25">
      <c r="A1404" s="8"/>
      <c r="B1404" s="8"/>
      <c r="C1404" s="8"/>
      <c r="D1404" s="26"/>
      <c r="E1404" s="27" t="s">
        <v>3344</v>
      </c>
      <c r="F1404" s="28">
        <v>1</v>
      </c>
      <c r="G1404" s="29"/>
      <c r="H1404" s="29"/>
      <c r="I1404" s="29"/>
      <c r="J1404" s="31">
        <f>ROUND(F1404,2)</f>
        <v>1</v>
      </c>
      <c r="K1404" s="33">
        <f>SUM(J1404:J1404)</f>
        <v>1</v>
      </c>
      <c r="L1404" s="8"/>
      <c r="M1404" s="8"/>
      <c r="N1404" s="8"/>
    </row>
    <row r="1405" spans="1:14" ht="24.75" customHeight="1" thickBot="1" x14ac:dyDescent="0.25">
      <c r="A1405" s="12" t="s">
        <v>3345</v>
      </c>
      <c r="B1405" s="6" t="s">
        <v>3346</v>
      </c>
      <c r="C1405" s="6" t="s">
        <v>3347</v>
      </c>
      <c r="D1405" s="60" t="s">
        <v>3348</v>
      </c>
      <c r="E1405" s="60"/>
      <c r="F1405" s="60"/>
      <c r="G1405" s="60"/>
      <c r="H1405" s="60"/>
      <c r="I1405" s="60"/>
      <c r="J1405" s="60"/>
      <c r="K1405" s="22">
        <f>SUM(K1408:K1408)</f>
        <v>1</v>
      </c>
      <c r="L1405" s="22">
        <f>ROUND(26178.45*(1+M2/100),2)</f>
        <v>26178.45</v>
      </c>
      <c r="M1405" s="22">
        <f>ROUND(K1405*L1405,2)</f>
        <v>26178.45</v>
      </c>
      <c r="N1405" s="8"/>
    </row>
    <row r="1406" spans="1:14" ht="133.9" customHeight="1" thickBot="1" x14ac:dyDescent="0.25">
      <c r="A1406" s="8"/>
      <c r="B1406" s="8"/>
      <c r="C1406" s="8"/>
      <c r="D1406" s="60" t="s">
        <v>3349</v>
      </c>
      <c r="E1406" s="60"/>
      <c r="F1406" s="60"/>
      <c r="G1406" s="60"/>
      <c r="H1406" s="60"/>
      <c r="I1406" s="60"/>
      <c r="J1406" s="60"/>
      <c r="K1406" s="60"/>
      <c r="L1406" s="60"/>
      <c r="M1406" s="60"/>
      <c r="N1406" s="8"/>
    </row>
    <row r="1407" spans="1:14" ht="15.4" customHeight="1" thickBot="1" x14ac:dyDescent="0.25">
      <c r="A1407" s="8"/>
      <c r="B1407" s="8"/>
      <c r="C1407" s="8"/>
      <c r="D1407" s="8"/>
      <c r="E1407" s="23"/>
      <c r="F1407" s="25" t="s">
        <v>3350</v>
      </c>
      <c r="G1407" s="25" t="s">
        <v>3351</v>
      </c>
      <c r="H1407" s="25" t="s">
        <v>3352</v>
      </c>
      <c r="I1407" s="25" t="s">
        <v>3353</v>
      </c>
      <c r="J1407" s="25" t="s">
        <v>3354</v>
      </c>
      <c r="K1407" s="25" t="s">
        <v>3355</v>
      </c>
      <c r="L1407" s="8"/>
      <c r="M1407" s="8"/>
      <c r="N1407" s="8"/>
    </row>
    <row r="1408" spans="1:14" ht="15.4" customHeight="1" thickBot="1" x14ac:dyDescent="0.25">
      <c r="A1408" s="8"/>
      <c r="B1408" s="8"/>
      <c r="C1408" s="8"/>
      <c r="D1408" s="26"/>
      <c r="E1408" s="27" t="s">
        <v>3356</v>
      </c>
      <c r="F1408" s="28">
        <v>1</v>
      </c>
      <c r="G1408" s="29"/>
      <c r="H1408" s="29"/>
      <c r="I1408" s="29"/>
      <c r="J1408" s="31">
        <f>ROUND(F1408,2)</f>
        <v>1</v>
      </c>
      <c r="K1408" s="33">
        <f>SUM(J1408:J1408)</f>
        <v>1</v>
      </c>
      <c r="L1408" s="8"/>
      <c r="M1408" s="8"/>
      <c r="N1408" s="8"/>
    </row>
    <row r="1409" spans="1:14" ht="24.75" customHeight="1" thickBot="1" x14ac:dyDescent="0.25">
      <c r="A1409" s="12" t="s">
        <v>3357</v>
      </c>
      <c r="B1409" s="6" t="s">
        <v>3358</v>
      </c>
      <c r="C1409" s="6" t="s">
        <v>3359</v>
      </c>
      <c r="D1409" s="60" t="s">
        <v>3360</v>
      </c>
      <c r="E1409" s="60"/>
      <c r="F1409" s="60"/>
      <c r="G1409" s="60"/>
      <c r="H1409" s="60"/>
      <c r="I1409" s="60"/>
      <c r="J1409" s="60"/>
      <c r="K1409" s="22">
        <f>SUM(K1412:K1413)</f>
        <v>6</v>
      </c>
      <c r="L1409" s="22">
        <f>ROUND(951.94*(1+M2/100),2)</f>
        <v>951.94</v>
      </c>
      <c r="M1409" s="22">
        <f>ROUND(K1409*L1409,2)</f>
        <v>5711.64</v>
      </c>
      <c r="N1409" s="8"/>
    </row>
    <row r="1410" spans="1:14" ht="96.4" customHeight="1" thickBot="1" x14ac:dyDescent="0.25">
      <c r="A1410" s="8"/>
      <c r="B1410" s="8"/>
      <c r="C1410" s="8"/>
      <c r="D1410" s="60" t="s">
        <v>3361</v>
      </c>
      <c r="E1410" s="60"/>
      <c r="F1410" s="60"/>
      <c r="G1410" s="60"/>
      <c r="H1410" s="60"/>
      <c r="I1410" s="60"/>
      <c r="J1410" s="60"/>
      <c r="K1410" s="60"/>
      <c r="L1410" s="60"/>
      <c r="M1410" s="60"/>
      <c r="N1410" s="8"/>
    </row>
    <row r="1411" spans="1:14" ht="15.4" customHeight="1" thickBot="1" x14ac:dyDescent="0.25">
      <c r="A1411" s="8"/>
      <c r="B1411" s="8"/>
      <c r="C1411" s="8"/>
      <c r="D1411" s="8"/>
      <c r="E1411" s="23"/>
      <c r="F1411" s="25" t="s">
        <v>3362</v>
      </c>
      <c r="G1411" s="25" t="s">
        <v>3363</v>
      </c>
      <c r="H1411" s="25" t="s">
        <v>3364</v>
      </c>
      <c r="I1411" s="25" t="s">
        <v>3365</v>
      </c>
      <c r="J1411" s="25" t="s">
        <v>3366</v>
      </c>
      <c r="K1411" s="25" t="s">
        <v>3367</v>
      </c>
      <c r="L1411" s="8"/>
      <c r="M1411" s="8"/>
      <c r="N1411" s="8"/>
    </row>
    <row r="1412" spans="1:14" ht="15.4" customHeight="1" thickBot="1" x14ac:dyDescent="0.25">
      <c r="A1412" s="8"/>
      <c r="B1412" s="8"/>
      <c r="C1412" s="8"/>
      <c r="D1412" s="26"/>
      <c r="E1412" s="27" t="s">
        <v>3368</v>
      </c>
      <c r="F1412" s="28">
        <v>4</v>
      </c>
      <c r="G1412" s="29"/>
      <c r="H1412" s="29"/>
      <c r="I1412" s="29"/>
      <c r="J1412" s="31">
        <f>ROUND(F1412,2)</f>
        <v>4</v>
      </c>
      <c r="K1412" s="35"/>
      <c r="L1412" s="8"/>
      <c r="M1412" s="8"/>
      <c r="N1412" s="8"/>
    </row>
    <row r="1413" spans="1:14" ht="15.4" customHeight="1" thickBot="1" x14ac:dyDescent="0.25">
      <c r="A1413" s="8"/>
      <c r="B1413" s="8"/>
      <c r="C1413" s="8"/>
      <c r="D1413" s="26"/>
      <c r="E1413" s="6" t="s">
        <v>3369</v>
      </c>
      <c r="F1413" s="4">
        <v>2</v>
      </c>
      <c r="G1413" s="22"/>
      <c r="H1413" s="22"/>
      <c r="I1413" s="22"/>
      <c r="J1413" s="30">
        <f>ROUND(F1413,2)</f>
        <v>2</v>
      </c>
      <c r="K1413" s="32">
        <f>SUM(J1412:J1413)</f>
        <v>6</v>
      </c>
      <c r="L1413" s="8"/>
      <c r="M1413" s="8"/>
      <c r="N1413" s="8"/>
    </row>
    <row r="1414" spans="1:14" ht="24.75" customHeight="1" thickBot="1" x14ac:dyDescent="0.25">
      <c r="A1414" s="12" t="s">
        <v>3370</v>
      </c>
      <c r="B1414" s="6" t="s">
        <v>3371</v>
      </c>
      <c r="C1414" s="6" t="s">
        <v>3372</v>
      </c>
      <c r="D1414" s="60" t="s">
        <v>3373</v>
      </c>
      <c r="E1414" s="60"/>
      <c r="F1414" s="60"/>
      <c r="G1414" s="60"/>
      <c r="H1414" s="60"/>
      <c r="I1414" s="60"/>
      <c r="J1414" s="60"/>
      <c r="K1414" s="22">
        <f>SUM(K1417:K1418)</f>
        <v>6</v>
      </c>
      <c r="L1414" s="22">
        <f>ROUND(1070.93*(1+M2/100),2)</f>
        <v>1070.93</v>
      </c>
      <c r="M1414" s="22">
        <f>ROUND(K1414*L1414,2)</f>
        <v>6425.58</v>
      </c>
      <c r="N1414" s="8"/>
    </row>
    <row r="1415" spans="1:14" ht="96.4" customHeight="1" thickBot="1" x14ac:dyDescent="0.25">
      <c r="A1415" s="8"/>
      <c r="B1415" s="8"/>
      <c r="C1415" s="8"/>
      <c r="D1415" s="60" t="s">
        <v>3374</v>
      </c>
      <c r="E1415" s="60"/>
      <c r="F1415" s="60"/>
      <c r="G1415" s="60"/>
      <c r="H1415" s="60"/>
      <c r="I1415" s="60"/>
      <c r="J1415" s="60"/>
      <c r="K1415" s="60"/>
      <c r="L1415" s="60"/>
      <c r="M1415" s="60"/>
      <c r="N1415" s="8"/>
    </row>
    <row r="1416" spans="1:14" ht="15.4" customHeight="1" thickBot="1" x14ac:dyDescent="0.25">
      <c r="A1416" s="8"/>
      <c r="B1416" s="8"/>
      <c r="C1416" s="8"/>
      <c r="D1416" s="8"/>
      <c r="E1416" s="23"/>
      <c r="F1416" s="25" t="s">
        <v>3375</v>
      </c>
      <c r="G1416" s="25" t="s">
        <v>3376</v>
      </c>
      <c r="H1416" s="25" t="s">
        <v>3377</v>
      </c>
      <c r="I1416" s="25" t="s">
        <v>3378</v>
      </c>
      <c r="J1416" s="25" t="s">
        <v>3379</v>
      </c>
      <c r="K1416" s="25" t="s">
        <v>3380</v>
      </c>
      <c r="L1416" s="8"/>
      <c r="M1416" s="8"/>
      <c r="N1416" s="8"/>
    </row>
    <row r="1417" spans="1:14" ht="15.4" customHeight="1" thickBot="1" x14ac:dyDescent="0.25">
      <c r="A1417" s="8"/>
      <c r="B1417" s="8"/>
      <c r="C1417" s="8"/>
      <c r="D1417" s="26"/>
      <c r="E1417" s="27" t="s">
        <v>3381</v>
      </c>
      <c r="F1417" s="28">
        <v>3</v>
      </c>
      <c r="G1417" s="29"/>
      <c r="H1417" s="29"/>
      <c r="I1417" s="29"/>
      <c r="J1417" s="31">
        <f>ROUND(F1417,2)</f>
        <v>3</v>
      </c>
      <c r="K1417" s="35"/>
      <c r="L1417" s="8"/>
      <c r="M1417" s="8"/>
      <c r="N1417" s="8"/>
    </row>
    <row r="1418" spans="1:14" ht="15.4" customHeight="1" thickBot="1" x14ac:dyDescent="0.25">
      <c r="A1418" s="8"/>
      <c r="B1418" s="8"/>
      <c r="C1418" s="8"/>
      <c r="D1418" s="26"/>
      <c r="E1418" s="6" t="s">
        <v>3382</v>
      </c>
      <c r="F1418" s="4">
        <v>3</v>
      </c>
      <c r="G1418" s="22"/>
      <c r="H1418" s="22"/>
      <c r="I1418" s="22"/>
      <c r="J1418" s="30">
        <f>ROUND(F1418,2)</f>
        <v>3</v>
      </c>
      <c r="K1418" s="32">
        <f>SUM(J1417:J1418)</f>
        <v>6</v>
      </c>
      <c r="L1418" s="8"/>
      <c r="M1418" s="8"/>
      <c r="N1418" s="8"/>
    </row>
    <row r="1419" spans="1:14" ht="24.75" customHeight="1" thickBot="1" x14ac:dyDescent="0.25">
      <c r="A1419" s="12" t="s">
        <v>3383</v>
      </c>
      <c r="B1419" s="6" t="s">
        <v>3384</v>
      </c>
      <c r="C1419" s="6" t="s">
        <v>3385</v>
      </c>
      <c r="D1419" s="60" t="s">
        <v>3386</v>
      </c>
      <c r="E1419" s="60"/>
      <c r="F1419" s="60"/>
      <c r="G1419" s="60"/>
      <c r="H1419" s="60"/>
      <c r="I1419" s="60"/>
      <c r="J1419" s="60"/>
      <c r="K1419" s="22">
        <f>SUM(K1422:K1422)</f>
        <v>12</v>
      </c>
      <c r="L1419" s="22">
        <f>ROUND(1094.73*(1+M2/100),2)</f>
        <v>1094.73</v>
      </c>
      <c r="M1419" s="22">
        <f>ROUND(K1419*L1419,2)</f>
        <v>13136.76</v>
      </c>
      <c r="N1419" s="8"/>
    </row>
    <row r="1420" spans="1:14" ht="96.4" customHeight="1" thickBot="1" x14ac:dyDescent="0.25">
      <c r="A1420" s="8"/>
      <c r="B1420" s="8"/>
      <c r="C1420" s="8"/>
      <c r="D1420" s="60" t="s">
        <v>3387</v>
      </c>
      <c r="E1420" s="60"/>
      <c r="F1420" s="60"/>
      <c r="G1420" s="60"/>
      <c r="H1420" s="60"/>
      <c r="I1420" s="60"/>
      <c r="J1420" s="60"/>
      <c r="K1420" s="60"/>
      <c r="L1420" s="60"/>
      <c r="M1420" s="60"/>
      <c r="N1420" s="8"/>
    </row>
    <row r="1421" spans="1:14" ht="15.4" customHeight="1" thickBot="1" x14ac:dyDescent="0.25">
      <c r="A1421" s="8"/>
      <c r="B1421" s="8"/>
      <c r="C1421" s="8"/>
      <c r="D1421" s="8"/>
      <c r="E1421" s="23"/>
      <c r="F1421" s="25" t="s">
        <v>3388</v>
      </c>
      <c r="G1421" s="25" t="s">
        <v>3389</v>
      </c>
      <c r="H1421" s="25" t="s">
        <v>3390</v>
      </c>
      <c r="I1421" s="25" t="s">
        <v>3391</v>
      </c>
      <c r="J1421" s="25" t="s">
        <v>3392</v>
      </c>
      <c r="K1421" s="25" t="s">
        <v>3393</v>
      </c>
      <c r="L1421" s="8"/>
      <c r="M1421" s="8"/>
      <c r="N1421" s="8"/>
    </row>
    <row r="1422" spans="1:14" ht="15.4" customHeight="1" thickBot="1" x14ac:dyDescent="0.25">
      <c r="A1422" s="8"/>
      <c r="B1422" s="8"/>
      <c r="C1422" s="8"/>
      <c r="D1422" s="26"/>
      <c r="E1422" s="27"/>
      <c r="F1422" s="28">
        <v>12</v>
      </c>
      <c r="G1422" s="29"/>
      <c r="H1422" s="29"/>
      <c r="I1422" s="29"/>
      <c r="J1422" s="31">
        <f>ROUND(F1422,2)</f>
        <v>12</v>
      </c>
      <c r="K1422" s="33">
        <f>SUM(J1422:J1422)</f>
        <v>12</v>
      </c>
      <c r="L1422" s="8"/>
      <c r="M1422" s="8"/>
      <c r="N1422" s="8"/>
    </row>
    <row r="1423" spans="1:14" ht="24.75" customHeight="1" thickBot="1" x14ac:dyDescent="0.25">
      <c r="A1423" s="12" t="s">
        <v>3394</v>
      </c>
      <c r="B1423" s="6" t="s">
        <v>3395</v>
      </c>
      <c r="C1423" s="6" t="s">
        <v>3396</v>
      </c>
      <c r="D1423" s="60" t="s">
        <v>3397</v>
      </c>
      <c r="E1423" s="60"/>
      <c r="F1423" s="60"/>
      <c r="G1423" s="60"/>
      <c r="H1423" s="60"/>
      <c r="I1423" s="60"/>
      <c r="J1423" s="60"/>
      <c r="K1423" s="22">
        <f>SUM(K1426:K1426)</f>
        <v>6</v>
      </c>
      <c r="L1423" s="22">
        <f>ROUND(145.19*(1+M2/100),2)</f>
        <v>145.19</v>
      </c>
      <c r="M1423" s="22">
        <f>ROUND(K1423*L1423,2)</f>
        <v>871.14</v>
      </c>
      <c r="N1423" s="8"/>
    </row>
    <row r="1424" spans="1:14" ht="21.6" customHeight="1" thickBot="1" x14ac:dyDescent="0.25">
      <c r="A1424" s="8"/>
      <c r="B1424" s="8"/>
      <c r="C1424" s="8"/>
      <c r="D1424" s="60" t="s">
        <v>3398</v>
      </c>
      <c r="E1424" s="60"/>
      <c r="F1424" s="60"/>
      <c r="G1424" s="60"/>
      <c r="H1424" s="60"/>
      <c r="I1424" s="60"/>
      <c r="J1424" s="60"/>
      <c r="K1424" s="60"/>
      <c r="L1424" s="60"/>
      <c r="M1424" s="60"/>
      <c r="N1424" s="8"/>
    </row>
    <row r="1425" spans="1:14" ht="15.4" customHeight="1" thickBot="1" x14ac:dyDescent="0.25">
      <c r="A1425" s="8"/>
      <c r="B1425" s="8"/>
      <c r="C1425" s="8"/>
      <c r="D1425" s="8"/>
      <c r="E1425" s="23"/>
      <c r="F1425" s="25" t="s">
        <v>3399</v>
      </c>
      <c r="G1425" s="25" t="s">
        <v>3400</v>
      </c>
      <c r="H1425" s="25" t="s">
        <v>3401</v>
      </c>
      <c r="I1425" s="25" t="s">
        <v>3402</v>
      </c>
      <c r="J1425" s="25" t="s">
        <v>3403</v>
      </c>
      <c r="K1425" s="25" t="s">
        <v>3404</v>
      </c>
      <c r="L1425" s="8"/>
      <c r="M1425" s="8"/>
      <c r="N1425" s="8"/>
    </row>
    <row r="1426" spans="1:14" ht="15.4" customHeight="1" thickBot="1" x14ac:dyDescent="0.25">
      <c r="A1426" s="8"/>
      <c r="B1426" s="8"/>
      <c r="C1426" s="8"/>
      <c r="D1426" s="26"/>
      <c r="E1426" s="27"/>
      <c r="F1426" s="28">
        <v>6</v>
      </c>
      <c r="G1426" s="29"/>
      <c r="H1426" s="29"/>
      <c r="I1426" s="29"/>
      <c r="J1426" s="31">
        <f>ROUND(F1426,2)</f>
        <v>6</v>
      </c>
      <c r="K1426" s="33">
        <f>SUM(J1426:J1426)</f>
        <v>6</v>
      </c>
      <c r="L1426" s="8"/>
      <c r="M1426" s="8"/>
      <c r="N1426" s="8"/>
    </row>
    <row r="1427" spans="1:14" ht="24.75" customHeight="1" thickBot="1" x14ac:dyDescent="0.25">
      <c r="A1427" s="12" t="s">
        <v>3405</v>
      </c>
      <c r="B1427" s="6" t="s">
        <v>3406</v>
      </c>
      <c r="C1427" s="6" t="s">
        <v>3407</v>
      </c>
      <c r="D1427" s="60" t="s">
        <v>3408</v>
      </c>
      <c r="E1427" s="60"/>
      <c r="F1427" s="60"/>
      <c r="G1427" s="60"/>
      <c r="H1427" s="60"/>
      <c r="I1427" s="60"/>
      <c r="J1427" s="60"/>
      <c r="K1427" s="22">
        <f>SUM(K1430:K1430)</f>
        <v>18</v>
      </c>
      <c r="L1427" s="22">
        <f>ROUND(136.85*(1+M2/100),2)</f>
        <v>136.85</v>
      </c>
      <c r="M1427" s="22">
        <f>ROUND(K1427*L1427,2)</f>
        <v>2463.3000000000002</v>
      </c>
      <c r="N1427" s="8"/>
    </row>
    <row r="1428" spans="1:14" ht="21.6" customHeight="1" thickBot="1" x14ac:dyDescent="0.25">
      <c r="A1428" s="8"/>
      <c r="B1428" s="8"/>
      <c r="C1428" s="8"/>
      <c r="D1428" s="60" t="s">
        <v>3409</v>
      </c>
      <c r="E1428" s="60"/>
      <c r="F1428" s="60"/>
      <c r="G1428" s="60"/>
      <c r="H1428" s="60"/>
      <c r="I1428" s="60"/>
      <c r="J1428" s="60"/>
      <c r="K1428" s="60"/>
      <c r="L1428" s="60"/>
      <c r="M1428" s="60"/>
      <c r="N1428" s="8"/>
    </row>
    <row r="1429" spans="1:14" ht="15.4" customHeight="1" thickBot="1" x14ac:dyDescent="0.25">
      <c r="A1429" s="8"/>
      <c r="B1429" s="8"/>
      <c r="C1429" s="8"/>
      <c r="D1429" s="8"/>
      <c r="E1429" s="23"/>
      <c r="F1429" s="25" t="s">
        <v>3410</v>
      </c>
      <c r="G1429" s="25" t="s">
        <v>3411</v>
      </c>
      <c r="H1429" s="25" t="s">
        <v>3412</v>
      </c>
      <c r="I1429" s="25" t="s">
        <v>3413</v>
      </c>
      <c r="J1429" s="25" t="s">
        <v>3414</v>
      </c>
      <c r="K1429" s="25" t="s">
        <v>3415</v>
      </c>
      <c r="L1429" s="8"/>
      <c r="M1429" s="8"/>
      <c r="N1429" s="8"/>
    </row>
    <row r="1430" spans="1:14" ht="15.4" customHeight="1" thickBot="1" x14ac:dyDescent="0.25">
      <c r="A1430" s="8"/>
      <c r="B1430" s="8"/>
      <c r="C1430" s="8"/>
      <c r="D1430" s="26"/>
      <c r="E1430" s="27"/>
      <c r="F1430" s="28">
        <v>18</v>
      </c>
      <c r="G1430" s="29"/>
      <c r="H1430" s="29"/>
      <c r="I1430" s="29"/>
      <c r="J1430" s="31">
        <f>ROUND(F1430,2)</f>
        <v>18</v>
      </c>
      <c r="K1430" s="33">
        <f>SUM(J1430:J1430)</f>
        <v>18</v>
      </c>
      <c r="L1430" s="8"/>
      <c r="M1430" s="8"/>
      <c r="N1430" s="8"/>
    </row>
    <row r="1431" spans="1:14" ht="24.75" customHeight="1" thickBot="1" x14ac:dyDescent="0.25">
      <c r="A1431" s="12" t="s">
        <v>3416</v>
      </c>
      <c r="B1431" s="6" t="s">
        <v>3417</v>
      </c>
      <c r="C1431" s="6" t="s">
        <v>3418</v>
      </c>
      <c r="D1431" s="60" t="s">
        <v>3419</v>
      </c>
      <c r="E1431" s="60"/>
      <c r="F1431" s="60"/>
      <c r="G1431" s="60"/>
      <c r="H1431" s="60"/>
      <c r="I1431" s="60"/>
      <c r="J1431" s="60"/>
      <c r="K1431" s="22">
        <f>SUM(K1434:K1434)</f>
        <v>1</v>
      </c>
      <c r="L1431" s="22">
        <f>ROUND(595.13*(1+M2/100),2)</f>
        <v>595.13</v>
      </c>
      <c r="M1431" s="22">
        <f>ROUND(K1431*L1431,2)</f>
        <v>595.13</v>
      </c>
      <c r="N1431" s="8"/>
    </row>
    <row r="1432" spans="1:14" ht="77.849999999999994" customHeight="1" thickBot="1" x14ac:dyDescent="0.25">
      <c r="A1432" s="8"/>
      <c r="B1432" s="8"/>
      <c r="C1432" s="8"/>
      <c r="D1432" s="60" t="s">
        <v>3420</v>
      </c>
      <c r="E1432" s="60"/>
      <c r="F1432" s="60"/>
      <c r="G1432" s="60"/>
      <c r="H1432" s="60"/>
      <c r="I1432" s="60"/>
      <c r="J1432" s="60"/>
      <c r="K1432" s="60"/>
      <c r="L1432" s="60"/>
      <c r="M1432" s="60"/>
      <c r="N1432" s="8"/>
    </row>
    <row r="1433" spans="1:14" ht="15.4" customHeight="1" thickBot="1" x14ac:dyDescent="0.25">
      <c r="A1433" s="8"/>
      <c r="B1433" s="8"/>
      <c r="C1433" s="8"/>
      <c r="D1433" s="8"/>
      <c r="E1433" s="23"/>
      <c r="F1433" s="25" t="s">
        <v>3421</v>
      </c>
      <c r="G1433" s="25" t="s">
        <v>3422</v>
      </c>
      <c r="H1433" s="25" t="s">
        <v>3423</v>
      </c>
      <c r="I1433" s="25" t="s">
        <v>3424</v>
      </c>
      <c r="J1433" s="25" t="s">
        <v>3425</v>
      </c>
      <c r="K1433" s="25" t="s">
        <v>3426</v>
      </c>
      <c r="L1433" s="8"/>
      <c r="M1433" s="8"/>
      <c r="N1433" s="8"/>
    </row>
    <row r="1434" spans="1:14" ht="15.4" customHeight="1" thickBot="1" x14ac:dyDescent="0.25">
      <c r="A1434" s="8"/>
      <c r="B1434" s="8"/>
      <c r="C1434" s="8"/>
      <c r="D1434" s="26"/>
      <c r="E1434" s="27" t="s">
        <v>3427</v>
      </c>
      <c r="F1434" s="28">
        <v>1</v>
      </c>
      <c r="G1434" s="29"/>
      <c r="H1434" s="29"/>
      <c r="I1434" s="29"/>
      <c r="J1434" s="31">
        <f>ROUND(F1434,2)</f>
        <v>1</v>
      </c>
      <c r="K1434" s="33">
        <f>SUM(J1434:J1434)</f>
        <v>1</v>
      </c>
      <c r="L1434" s="8"/>
      <c r="M1434" s="8"/>
      <c r="N1434" s="8"/>
    </row>
    <row r="1435" spans="1:14" ht="24.75" customHeight="1" thickBot="1" x14ac:dyDescent="0.25">
      <c r="A1435" s="12" t="s">
        <v>3428</v>
      </c>
      <c r="B1435" s="6" t="s">
        <v>3429</v>
      </c>
      <c r="C1435" s="6" t="s">
        <v>3430</v>
      </c>
      <c r="D1435" s="60" t="s">
        <v>3431</v>
      </c>
      <c r="E1435" s="60"/>
      <c r="F1435" s="60"/>
      <c r="G1435" s="60"/>
      <c r="H1435" s="60"/>
      <c r="I1435" s="60"/>
      <c r="J1435" s="60"/>
      <c r="K1435" s="22">
        <f>SUM(K1438:K1438)</f>
        <v>7</v>
      </c>
      <c r="L1435" s="22">
        <f>ROUND(130.9*(1+M2/100),2)</f>
        <v>130.9</v>
      </c>
      <c r="M1435" s="22">
        <f>ROUND(K1435*L1435,2)</f>
        <v>916.3</v>
      </c>
      <c r="N1435" s="8"/>
    </row>
    <row r="1436" spans="1:14" ht="12.2" customHeight="1" thickBot="1" x14ac:dyDescent="0.25">
      <c r="A1436" s="8"/>
      <c r="B1436" s="8"/>
      <c r="C1436" s="8"/>
      <c r="D1436" s="60" t="s">
        <v>3432</v>
      </c>
      <c r="E1436" s="60"/>
      <c r="F1436" s="60"/>
      <c r="G1436" s="60"/>
      <c r="H1436" s="60"/>
      <c r="I1436" s="60"/>
      <c r="J1436" s="60"/>
      <c r="K1436" s="60"/>
      <c r="L1436" s="60"/>
      <c r="M1436" s="60"/>
      <c r="N1436" s="8"/>
    </row>
    <row r="1437" spans="1:14" ht="15.4" customHeight="1" thickBot="1" x14ac:dyDescent="0.25">
      <c r="A1437" s="8"/>
      <c r="B1437" s="8"/>
      <c r="C1437" s="8"/>
      <c r="D1437" s="8"/>
      <c r="E1437" s="23"/>
      <c r="F1437" s="25" t="s">
        <v>3433</v>
      </c>
      <c r="G1437" s="25" t="s">
        <v>3434</v>
      </c>
      <c r="H1437" s="25" t="s">
        <v>3435</v>
      </c>
      <c r="I1437" s="25" t="s">
        <v>3436</v>
      </c>
      <c r="J1437" s="25" t="s">
        <v>3437</v>
      </c>
      <c r="K1437" s="25" t="s">
        <v>3438</v>
      </c>
      <c r="L1437" s="8"/>
      <c r="M1437" s="8"/>
      <c r="N1437" s="8"/>
    </row>
    <row r="1438" spans="1:14" ht="15.4" customHeight="1" thickBot="1" x14ac:dyDescent="0.25">
      <c r="A1438" s="8"/>
      <c r="B1438" s="8"/>
      <c r="C1438" s="8"/>
      <c r="D1438" s="26"/>
      <c r="E1438" s="27"/>
      <c r="F1438" s="28">
        <v>7</v>
      </c>
      <c r="G1438" s="29"/>
      <c r="H1438" s="29"/>
      <c r="I1438" s="29"/>
      <c r="J1438" s="31">
        <f>ROUND(F1438,2)</f>
        <v>7</v>
      </c>
      <c r="K1438" s="33">
        <f>SUM(J1438:J1438)</f>
        <v>7</v>
      </c>
      <c r="L1438" s="8"/>
      <c r="M1438" s="8"/>
      <c r="N1438" s="8"/>
    </row>
    <row r="1439" spans="1:14" ht="24.75" customHeight="1" thickBot="1" x14ac:dyDescent="0.25">
      <c r="A1439" s="12" t="s">
        <v>3439</v>
      </c>
      <c r="B1439" s="6" t="s">
        <v>3440</v>
      </c>
      <c r="C1439" s="6" t="s">
        <v>3441</v>
      </c>
      <c r="D1439" s="60" t="s">
        <v>3442</v>
      </c>
      <c r="E1439" s="60"/>
      <c r="F1439" s="60"/>
      <c r="G1439" s="60"/>
      <c r="H1439" s="60"/>
      <c r="I1439" s="60"/>
      <c r="J1439" s="60"/>
      <c r="K1439" s="22">
        <f>SUM(K1442:K1442)</f>
        <v>1</v>
      </c>
      <c r="L1439" s="22">
        <f>ROUND(559.43*(1+M2/100),2)</f>
        <v>559.42999999999995</v>
      </c>
      <c r="M1439" s="22">
        <f>ROUND(K1439*L1439,2)</f>
        <v>559.42999999999995</v>
      </c>
      <c r="N1439" s="8"/>
    </row>
    <row r="1440" spans="1:14" ht="49.7" customHeight="1" thickBot="1" x14ac:dyDescent="0.25">
      <c r="A1440" s="8"/>
      <c r="B1440" s="8"/>
      <c r="C1440" s="8"/>
      <c r="D1440" s="60" t="s">
        <v>3443</v>
      </c>
      <c r="E1440" s="60"/>
      <c r="F1440" s="60"/>
      <c r="G1440" s="60"/>
      <c r="H1440" s="60"/>
      <c r="I1440" s="60"/>
      <c r="J1440" s="60"/>
      <c r="K1440" s="60"/>
      <c r="L1440" s="60"/>
      <c r="M1440" s="60"/>
      <c r="N1440" s="8"/>
    </row>
    <row r="1441" spans="1:14" ht="15.4" customHeight="1" thickBot="1" x14ac:dyDescent="0.25">
      <c r="A1441" s="8"/>
      <c r="B1441" s="8"/>
      <c r="C1441" s="8"/>
      <c r="D1441" s="8"/>
      <c r="E1441" s="23"/>
      <c r="F1441" s="25" t="s">
        <v>3444</v>
      </c>
      <c r="G1441" s="25" t="s">
        <v>3445</v>
      </c>
      <c r="H1441" s="25" t="s">
        <v>3446</v>
      </c>
      <c r="I1441" s="25" t="s">
        <v>3447</v>
      </c>
      <c r="J1441" s="25" t="s">
        <v>3448</v>
      </c>
      <c r="K1441" s="25" t="s">
        <v>3449</v>
      </c>
      <c r="L1441" s="8"/>
      <c r="M1441" s="8"/>
      <c r="N1441" s="8"/>
    </row>
    <row r="1442" spans="1:14" ht="15.4" customHeight="1" thickBot="1" x14ac:dyDescent="0.25">
      <c r="A1442" s="8"/>
      <c r="B1442" s="8"/>
      <c r="C1442" s="8"/>
      <c r="D1442" s="26"/>
      <c r="E1442" s="27"/>
      <c r="F1442" s="28">
        <v>1</v>
      </c>
      <c r="G1442" s="29"/>
      <c r="H1442" s="29"/>
      <c r="I1442" s="29"/>
      <c r="J1442" s="31">
        <f>ROUND(F1442,2)</f>
        <v>1</v>
      </c>
      <c r="K1442" s="33">
        <f>SUM(J1442:J1442)</f>
        <v>1</v>
      </c>
      <c r="L1442" s="8"/>
      <c r="M1442" s="8"/>
      <c r="N1442" s="8"/>
    </row>
    <row r="1443" spans="1:14" ht="24.75" customHeight="1" thickBot="1" x14ac:dyDescent="0.25">
      <c r="A1443" s="12" t="s">
        <v>3450</v>
      </c>
      <c r="B1443" s="6" t="s">
        <v>3451</v>
      </c>
      <c r="C1443" s="6" t="s">
        <v>3452</v>
      </c>
      <c r="D1443" s="60" t="s">
        <v>3453</v>
      </c>
      <c r="E1443" s="60"/>
      <c r="F1443" s="60"/>
      <c r="G1443" s="60"/>
      <c r="H1443" s="60"/>
      <c r="I1443" s="60"/>
      <c r="J1443" s="60"/>
      <c r="K1443" s="22">
        <f>SUM(K1446:K1446)</f>
        <v>1</v>
      </c>
      <c r="L1443" s="22">
        <f>ROUND(131.06*(1+M2/100),2)</f>
        <v>131.06</v>
      </c>
      <c r="M1443" s="22">
        <f>ROUND(K1443*L1443,2)</f>
        <v>131.06</v>
      </c>
      <c r="N1443" s="8"/>
    </row>
    <row r="1444" spans="1:14" ht="30.95" customHeight="1" thickBot="1" x14ac:dyDescent="0.25">
      <c r="A1444" s="8"/>
      <c r="B1444" s="8"/>
      <c r="C1444" s="8"/>
      <c r="D1444" s="60" t="s">
        <v>3454</v>
      </c>
      <c r="E1444" s="60"/>
      <c r="F1444" s="60"/>
      <c r="G1444" s="60"/>
      <c r="H1444" s="60"/>
      <c r="I1444" s="60"/>
      <c r="J1444" s="60"/>
      <c r="K1444" s="60"/>
      <c r="L1444" s="60"/>
      <c r="M1444" s="60"/>
      <c r="N1444" s="8"/>
    </row>
    <row r="1445" spans="1:14" ht="15.4" customHeight="1" thickBot="1" x14ac:dyDescent="0.25">
      <c r="A1445" s="8"/>
      <c r="B1445" s="8"/>
      <c r="C1445" s="8"/>
      <c r="D1445" s="8"/>
      <c r="E1445" s="23"/>
      <c r="F1445" s="25" t="s">
        <v>3455</v>
      </c>
      <c r="G1445" s="25" t="s">
        <v>3456</v>
      </c>
      <c r="H1445" s="25" t="s">
        <v>3457</v>
      </c>
      <c r="I1445" s="25" t="s">
        <v>3458</v>
      </c>
      <c r="J1445" s="25" t="s">
        <v>3459</v>
      </c>
      <c r="K1445" s="25" t="s">
        <v>3460</v>
      </c>
      <c r="L1445" s="8"/>
      <c r="M1445" s="8"/>
      <c r="N1445" s="8"/>
    </row>
    <row r="1446" spans="1:14" ht="15.4" customHeight="1" thickBot="1" x14ac:dyDescent="0.25">
      <c r="A1446" s="8"/>
      <c r="B1446" s="8"/>
      <c r="C1446" s="8"/>
      <c r="D1446" s="26"/>
      <c r="E1446" s="27"/>
      <c r="F1446" s="28">
        <v>1</v>
      </c>
      <c r="G1446" s="29"/>
      <c r="H1446" s="29"/>
      <c r="I1446" s="29"/>
      <c r="J1446" s="31">
        <f>ROUND(F1446,2)</f>
        <v>1</v>
      </c>
      <c r="K1446" s="33">
        <f>SUM(J1446:J1446)</f>
        <v>1</v>
      </c>
      <c r="L1446" s="8"/>
      <c r="M1446" s="8"/>
      <c r="N1446" s="8"/>
    </row>
    <row r="1447" spans="1:14" ht="15.4" customHeight="1" thickBot="1" x14ac:dyDescent="0.25">
      <c r="A1447" s="12" t="s">
        <v>3461</v>
      </c>
      <c r="B1447" s="6" t="s">
        <v>3462</v>
      </c>
      <c r="C1447" s="6" t="s">
        <v>3463</v>
      </c>
      <c r="D1447" s="60" t="s">
        <v>3464</v>
      </c>
      <c r="E1447" s="60"/>
      <c r="F1447" s="60"/>
      <c r="G1447" s="60"/>
      <c r="H1447" s="60"/>
      <c r="I1447" s="60"/>
      <c r="J1447" s="60"/>
      <c r="K1447" s="22">
        <f>SUM(K1450:K1450)</f>
        <v>46.39</v>
      </c>
      <c r="L1447" s="22">
        <f>ROUND(136.85*(1+M2/100),2)</f>
        <v>136.85</v>
      </c>
      <c r="M1447" s="22">
        <f>ROUND(K1447*L1447,2)</f>
        <v>6348.47</v>
      </c>
      <c r="N1447" s="8"/>
    </row>
    <row r="1448" spans="1:14" ht="21.6" customHeight="1" thickBot="1" x14ac:dyDescent="0.25">
      <c r="A1448" s="8"/>
      <c r="B1448" s="8"/>
      <c r="C1448" s="8"/>
      <c r="D1448" s="60" t="s">
        <v>3465</v>
      </c>
      <c r="E1448" s="60"/>
      <c r="F1448" s="60"/>
      <c r="G1448" s="60"/>
      <c r="H1448" s="60"/>
      <c r="I1448" s="60"/>
      <c r="J1448" s="60"/>
      <c r="K1448" s="60"/>
      <c r="L1448" s="60"/>
      <c r="M1448" s="60"/>
      <c r="N1448" s="8"/>
    </row>
    <row r="1449" spans="1:14" ht="15.4" customHeight="1" thickBot="1" x14ac:dyDescent="0.25">
      <c r="A1449" s="8"/>
      <c r="B1449" s="8"/>
      <c r="C1449" s="8"/>
      <c r="D1449" s="8"/>
      <c r="E1449" s="23"/>
      <c r="F1449" s="25" t="s">
        <v>3466</v>
      </c>
      <c r="G1449" s="25" t="s">
        <v>3467</v>
      </c>
      <c r="H1449" s="25" t="s">
        <v>3468</v>
      </c>
      <c r="I1449" s="25" t="s">
        <v>3469</v>
      </c>
      <c r="J1449" s="25" t="s">
        <v>3470</v>
      </c>
      <c r="K1449" s="25" t="s">
        <v>3471</v>
      </c>
      <c r="L1449" s="8"/>
      <c r="M1449" s="8"/>
      <c r="N1449" s="8"/>
    </row>
    <row r="1450" spans="1:14" ht="15.4" customHeight="1" thickBot="1" x14ac:dyDescent="0.25">
      <c r="A1450" s="8"/>
      <c r="B1450" s="8"/>
      <c r="C1450" s="8"/>
      <c r="D1450" s="26"/>
      <c r="E1450" s="27"/>
      <c r="F1450" s="28">
        <v>1</v>
      </c>
      <c r="G1450" s="29">
        <v>46.39</v>
      </c>
      <c r="H1450" s="29"/>
      <c r="I1450" s="29"/>
      <c r="J1450" s="31">
        <f>ROUND(F1450*G1450,2)</f>
        <v>46.39</v>
      </c>
      <c r="K1450" s="33">
        <f>SUM(J1450:J1450)</f>
        <v>46.39</v>
      </c>
      <c r="L1450" s="8"/>
      <c r="M1450" s="8"/>
      <c r="N1450" s="8"/>
    </row>
    <row r="1451" spans="1:14" ht="15.4" customHeight="1" thickBot="1" x14ac:dyDescent="0.25">
      <c r="A1451" s="12" t="s">
        <v>3472</v>
      </c>
      <c r="B1451" s="6" t="s">
        <v>3473</v>
      </c>
      <c r="C1451" s="6" t="s">
        <v>3474</v>
      </c>
      <c r="D1451" s="60" t="s">
        <v>3475</v>
      </c>
      <c r="E1451" s="60"/>
      <c r="F1451" s="60"/>
      <c r="G1451" s="60"/>
      <c r="H1451" s="60"/>
      <c r="I1451" s="60"/>
      <c r="J1451" s="60"/>
      <c r="K1451" s="22">
        <f>SUM(K1454:K1454)</f>
        <v>1</v>
      </c>
      <c r="L1451" s="22">
        <f>ROUND(714.04*(1+M2/100),2)</f>
        <v>714.04</v>
      </c>
      <c r="M1451" s="22">
        <f>ROUND(K1451*L1451,2)</f>
        <v>714.04</v>
      </c>
      <c r="N1451" s="8"/>
    </row>
    <row r="1452" spans="1:14" ht="21.6" customHeight="1" thickBot="1" x14ac:dyDescent="0.25">
      <c r="A1452" s="8"/>
      <c r="B1452" s="8"/>
      <c r="C1452" s="8"/>
      <c r="D1452" s="60" t="s">
        <v>3476</v>
      </c>
      <c r="E1452" s="60"/>
      <c r="F1452" s="60"/>
      <c r="G1452" s="60"/>
      <c r="H1452" s="60"/>
      <c r="I1452" s="60"/>
      <c r="J1452" s="60"/>
      <c r="K1452" s="60"/>
      <c r="L1452" s="60"/>
      <c r="M1452" s="60"/>
      <c r="N1452" s="8"/>
    </row>
    <row r="1453" spans="1:14" ht="15.4" customHeight="1" thickBot="1" x14ac:dyDescent="0.25">
      <c r="A1453" s="8"/>
      <c r="B1453" s="8"/>
      <c r="C1453" s="8"/>
      <c r="D1453" s="8"/>
      <c r="E1453" s="23"/>
      <c r="F1453" s="25" t="s">
        <v>3477</v>
      </c>
      <c r="G1453" s="25" t="s">
        <v>3478</v>
      </c>
      <c r="H1453" s="25" t="s">
        <v>3479</v>
      </c>
      <c r="I1453" s="25" t="s">
        <v>3480</v>
      </c>
      <c r="J1453" s="25" t="s">
        <v>3481</v>
      </c>
      <c r="K1453" s="25" t="s">
        <v>3482</v>
      </c>
      <c r="L1453" s="8"/>
      <c r="M1453" s="8"/>
      <c r="N1453" s="8"/>
    </row>
    <row r="1454" spans="1:14" ht="15.4" customHeight="1" thickBot="1" x14ac:dyDescent="0.25">
      <c r="A1454" s="8"/>
      <c r="B1454" s="8"/>
      <c r="C1454" s="8"/>
      <c r="D1454" s="26"/>
      <c r="E1454" s="27"/>
      <c r="F1454" s="28">
        <v>1</v>
      </c>
      <c r="G1454" s="29"/>
      <c r="H1454" s="29"/>
      <c r="I1454" s="29"/>
      <c r="J1454" s="31">
        <f>ROUND(F1454,2)</f>
        <v>1</v>
      </c>
      <c r="K1454" s="33">
        <f>SUM(J1454:J1454)</f>
        <v>1</v>
      </c>
      <c r="L1454" s="8"/>
      <c r="M1454" s="8"/>
      <c r="N1454" s="8"/>
    </row>
    <row r="1455" spans="1:14" ht="15.4" customHeight="1" thickBot="1" x14ac:dyDescent="0.25">
      <c r="A1455" s="12" t="s">
        <v>3483</v>
      </c>
      <c r="B1455" s="6" t="s">
        <v>3484</v>
      </c>
      <c r="C1455" s="6" t="s">
        <v>3485</v>
      </c>
      <c r="D1455" s="60" t="s">
        <v>3486</v>
      </c>
      <c r="E1455" s="60"/>
      <c r="F1455" s="60"/>
      <c r="G1455" s="60"/>
      <c r="H1455" s="60"/>
      <c r="I1455" s="60"/>
      <c r="J1455" s="60"/>
      <c r="K1455" s="22">
        <f>SUM(K1458:K1458)</f>
        <v>1</v>
      </c>
      <c r="L1455" s="22">
        <f>ROUND(148.85*(1+M2/100),2)</f>
        <v>148.85</v>
      </c>
      <c r="M1455" s="22">
        <f>ROUND(K1455*L1455,2)</f>
        <v>148.85</v>
      </c>
      <c r="N1455" s="8"/>
    </row>
    <row r="1456" spans="1:14" ht="21.6" customHeight="1" thickBot="1" x14ac:dyDescent="0.25">
      <c r="A1456" s="8"/>
      <c r="B1456" s="8"/>
      <c r="C1456" s="8"/>
      <c r="D1456" s="60" t="s">
        <v>3487</v>
      </c>
      <c r="E1456" s="60"/>
      <c r="F1456" s="60"/>
      <c r="G1456" s="60"/>
      <c r="H1456" s="60"/>
      <c r="I1456" s="60"/>
      <c r="J1456" s="60"/>
      <c r="K1456" s="60"/>
      <c r="L1456" s="60"/>
      <c r="M1456" s="60"/>
      <c r="N1456" s="8"/>
    </row>
    <row r="1457" spans="1:14" ht="15.4" customHeight="1" thickBot="1" x14ac:dyDescent="0.25">
      <c r="A1457" s="8"/>
      <c r="B1457" s="8"/>
      <c r="C1457" s="8"/>
      <c r="D1457" s="8"/>
      <c r="E1457" s="23"/>
      <c r="F1457" s="25" t="s">
        <v>3488</v>
      </c>
      <c r="G1457" s="25" t="s">
        <v>3489</v>
      </c>
      <c r="H1457" s="25" t="s">
        <v>3490</v>
      </c>
      <c r="I1457" s="25" t="s">
        <v>3491</v>
      </c>
      <c r="J1457" s="25" t="s">
        <v>3492</v>
      </c>
      <c r="K1457" s="25" t="s">
        <v>3493</v>
      </c>
      <c r="L1457" s="8"/>
      <c r="M1457" s="8"/>
      <c r="N1457" s="8"/>
    </row>
    <row r="1458" spans="1:14" ht="15.4" customHeight="1" thickBot="1" x14ac:dyDescent="0.25">
      <c r="A1458" s="8"/>
      <c r="B1458" s="8"/>
      <c r="C1458" s="8"/>
      <c r="D1458" s="26"/>
      <c r="E1458" s="27" t="s">
        <v>3494</v>
      </c>
      <c r="F1458" s="28">
        <v>1</v>
      </c>
      <c r="G1458" s="29"/>
      <c r="H1458" s="29"/>
      <c r="I1458" s="29"/>
      <c r="J1458" s="31">
        <f>ROUND(F1458,2)</f>
        <v>1</v>
      </c>
      <c r="K1458" s="33">
        <f>SUM(J1458:J1458)</f>
        <v>1</v>
      </c>
      <c r="L1458" s="8"/>
      <c r="M1458" s="8"/>
      <c r="N1458" s="8"/>
    </row>
    <row r="1459" spans="1:14" ht="15.4" customHeight="1" thickBot="1" x14ac:dyDescent="0.25">
      <c r="A1459" s="12" t="s">
        <v>3495</v>
      </c>
      <c r="B1459" s="6" t="s">
        <v>3496</v>
      </c>
      <c r="C1459" s="6" t="s">
        <v>3497</v>
      </c>
      <c r="D1459" s="60" t="s">
        <v>3498</v>
      </c>
      <c r="E1459" s="60"/>
      <c r="F1459" s="60"/>
      <c r="G1459" s="60"/>
      <c r="H1459" s="60"/>
      <c r="I1459" s="60"/>
      <c r="J1459" s="60"/>
      <c r="K1459" s="22">
        <f>SUM(K1462:K1462)</f>
        <v>2</v>
      </c>
      <c r="L1459" s="22">
        <f>ROUND(178.56*(1+M2/100),2)</f>
        <v>178.56</v>
      </c>
      <c r="M1459" s="22">
        <f>ROUND(K1459*L1459,2)</f>
        <v>357.12</v>
      </c>
      <c r="N1459" s="8"/>
    </row>
    <row r="1460" spans="1:14" ht="30.95" customHeight="1" thickBot="1" x14ac:dyDescent="0.25">
      <c r="A1460" s="8"/>
      <c r="B1460" s="8"/>
      <c r="C1460" s="8"/>
      <c r="D1460" s="60" t="s">
        <v>3499</v>
      </c>
      <c r="E1460" s="60"/>
      <c r="F1460" s="60"/>
      <c r="G1460" s="60"/>
      <c r="H1460" s="60"/>
      <c r="I1460" s="60"/>
      <c r="J1460" s="60"/>
      <c r="K1460" s="60"/>
      <c r="L1460" s="60"/>
      <c r="M1460" s="60"/>
      <c r="N1460" s="8"/>
    </row>
    <row r="1461" spans="1:14" ht="15.4" customHeight="1" thickBot="1" x14ac:dyDescent="0.25">
      <c r="A1461" s="8"/>
      <c r="B1461" s="8"/>
      <c r="C1461" s="8"/>
      <c r="D1461" s="8"/>
      <c r="E1461" s="23"/>
      <c r="F1461" s="25" t="s">
        <v>3500</v>
      </c>
      <c r="G1461" s="25" t="s">
        <v>3501</v>
      </c>
      <c r="H1461" s="25" t="s">
        <v>3502</v>
      </c>
      <c r="I1461" s="25" t="s">
        <v>3503</v>
      </c>
      <c r="J1461" s="25" t="s">
        <v>3504</v>
      </c>
      <c r="K1461" s="25" t="s">
        <v>3505</v>
      </c>
      <c r="L1461" s="8"/>
      <c r="M1461" s="8"/>
      <c r="N1461" s="8"/>
    </row>
    <row r="1462" spans="1:14" ht="15.4" customHeight="1" thickBot="1" x14ac:dyDescent="0.25">
      <c r="A1462" s="8"/>
      <c r="B1462" s="8"/>
      <c r="C1462" s="8"/>
      <c r="D1462" s="26"/>
      <c r="E1462" s="27" t="s">
        <v>3506</v>
      </c>
      <c r="F1462" s="28">
        <v>2</v>
      </c>
      <c r="G1462" s="29"/>
      <c r="H1462" s="29"/>
      <c r="I1462" s="29"/>
      <c r="J1462" s="31">
        <f>ROUND(F1462,2)</f>
        <v>2</v>
      </c>
      <c r="K1462" s="33">
        <f>SUM(J1462:J1462)</f>
        <v>2</v>
      </c>
      <c r="L1462" s="8"/>
      <c r="M1462" s="8"/>
      <c r="N1462" s="8"/>
    </row>
    <row r="1463" spans="1:14" ht="15.4" customHeight="1" thickBot="1" x14ac:dyDescent="0.25">
      <c r="A1463" s="12" t="s">
        <v>3507</v>
      </c>
      <c r="B1463" s="6" t="s">
        <v>3508</v>
      </c>
      <c r="C1463" s="6" t="s">
        <v>3509</v>
      </c>
      <c r="D1463" s="60" t="s">
        <v>3510</v>
      </c>
      <c r="E1463" s="60"/>
      <c r="F1463" s="60"/>
      <c r="G1463" s="60"/>
      <c r="H1463" s="60"/>
      <c r="I1463" s="60"/>
      <c r="J1463" s="60"/>
      <c r="K1463" s="22">
        <f>SUM(K1466:K1466)</f>
        <v>920</v>
      </c>
      <c r="L1463" s="22">
        <f>ROUND(3.81*(1+M2/100),2)</f>
        <v>3.81</v>
      </c>
      <c r="M1463" s="22">
        <f>ROUND(K1463*L1463,2)</f>
        <v>3505.2</v>
      </c>
      <c r="N1463" s="8"/>
    </row>
    <row r="1464" spans="1:14" ht="21.6" customHeight="1" thickBot="1" x14ac:dyDescent="0.25">
      <c r="A1464" s="8"/>
      <c r="B1464" s="8"/>
      <c r="C1464" s="8"/>
      <c r="D1464" s="60" t="s">
        <v>3511</v>
      </c>
      <c r="E1464" s="60"/>
      <c r="F1464" s="60"/>
      <c r="G1464" s="60"/>
      <c r="H1464" s="60"/>
      <c r="I1464" s="60"/>
      <c r="J1464" s="60"/>
      <c r="K1464" s="60"/>
      <c r="L1464" s="60"/>
      <c r="M1464" s="60"/>
      <c r="N1464" s="8"/>
    </row>
    <row r="1465" spans="1:14" ht="15.4" customHeight="1" thickBot="1" x14ac:dyDescent="0.25">
      <c r="A1465" s="8"/>
      <c r="B1465" s="8"/>
      <c r="C1465" s="8"/>
      <c r="D1465" s="8"/>
      <c r="E1465" s="23"/>
      <c r="F1465" s="25" t="s">
        <v>3512</v>
      </c>
      <c r="G1465" s="25" t="s">
        <v>3513</v>
      </c>
      <c r="H1465" s="25" t="s">
        <v>3514</v>
      </c>
      <c r="I1465" s="25" t="s">
        <v>3515</v>
      </c>
      <c r="J1465" s="25" t="s">
        <v>3516</v>
      </c>
      <c r="K1465" s="25" t="s">
        <v>3517</v>
      </c>
      <c r="L1465" s="8"/>
      <c r="M1465" s="8"/>
      <c r="N1465" s="8"/>
    </row>
    <row r="1466" spans="1:14" ht="15.4" customHeight="1" thickBot="1" x14ac:dyDescent="0.25">
      <c r="A1466" s="8"/>
      <c r="B1466" s="8"/>
      <c r="C1466" s="8"/>
      <c r="D1466" s="26"/>
      <c r="E1466" s="27"/>
      <c r="F1466" s="28">
        <v>1</v>
      </c>
      <c r="G1466" s="29">
        <v>920</v>
      </c>
      <c r="H1466" s="29"/>
      <c r="I1466" s="29"/>
      <c r="J1466" s="31">
        <f>ROUND(F1466*G1466,2)</f>
        <v>920</v>
      </c>
      <c r="K1466" s="33">
        <f>SUM(J1466:J1466)</f>
        <v>920</v>
      </c>
      <c r="L1466" s="8"/>
      <c r="M1466" s="8"/>
      <c r="N1466" s="8"/>
    </row>
    <row r="1467" spans="1:14" ht="15.4" customHeight="1" thickBot="1" x14ac:dyDescent="0.25">
      <c r="A1467" s="12" t="s">
        <v>3518</v>
      </c>
      <c r="B1467" s="6" t="s">
        <v>3519</v>
      </c>
      <c r="C1467" s="6" t="s">
        <v>3520</v>
      </c>
      <c r="D1467" s="60" t="s">
        <v>3521</v>
      </c>
      <c r="E1467" s="60"/>
      <c r="F1467" s="60"/>
      <c r="G1467" s="60"/>
      <c r="H1467" s="60"/>
      <c r="I1467" s="60"/>
      <c r="J1467" s="60"/>
      <c r="K1467" s="22">
        <f>SUM(K1470:K1470)</f>
        <v>2</v>
      </c>
      <c r="L1467" s="22">
        <f>ROUND(499.81*(1+M2/100),2)</f>
        <v>499.81</v>
      </c>
      <c r="M1467" s="22">
        <f>ROUND(K1467*L1467,2)</f>
        <v>999.62</v>
      </c>
      <c r="N1467" s="8"/>
    </row>
    <row r="1468" spans="1:14" ht="21.6" customHeight="1" thickBot="1" x14ac:dyDescent="0.25">
      <c r="A1468" s="8"/>
      <c r="B1468" s="8"/>
      <c r="C1468" s="8"/>
      <c r="D1468" s="60" t="s">
        <v>3522</v>
      </c>
      <c r="E1468" s="60"/>
      <c r="F1468" s="60"/>
      <c r="G1468" s="60"/>
      <c r="H1468" s="60"/>
      <c r="I1468" s="60"/>
      <c r="J1468" s="60"/>
      <c r="K1468" s="60"/>
      <c r="L1468" s="60"/>
      <c r="M1468" s="60"/>
      <c r="N1468" s="8"/>
    </row>
    <row r="1469" spans="1:14" ht="15.4" customHeight="1" thickBot="1" x14ac:dyDescent="0.25">
      <c r="A1469" s="8"/>
      <c r="B1469" s="8"/>
      <c r="C1469" s="8"/>
      <c r="D1469" s="8"/>
      <c r="E1469" s="23"/>
      <c r="F1469" s="25" t="s">
        <v>3523</v>
      </c>
      <c r="G1469" s="25" t="s">
        <v>3524</v>
      </c>
      <c r="H1469" s="25" t="s">
        <v>3525</v>
      </c>
      <c r="I1469" s="25" t="s">
        <v>3526</v>
      </c>
      <c r="J1469" s="25" t="s">
        <v>3527</v>
      </c>
      <c r="K1469" s="25" t="s">
        <v>3528</v>
      </c>
      <c r="L1469" s="8"/>
      <c r="M1469" s="8"/>
      <c r="N1469" s="8"/>
    </row>
    <row r="1470" spans="1:14" ht="15.4" customHeight="1" thickBot="1" x14ac:dyDescent="0.25">
      <c r="A1470" s="8"/>
      <c r="B1470" s="8"/>
      <c r="C1470" s="8"/>
      <c r="D1470" s="26"/>
      <c r="E1470" s="27" t="s">
        <v>3529</v>
      </c>
      <c r="F1470" s="28">
        <v>2</v>
      </c>
      <c r="G1470" s="29"/>
      <c r="H1470" s="29"/>
      <c r="I1470" s="29"/>
      <c r="J1470" s="31">
        <f>ROUND(F1470,2)</f>
        <v>2</v>
      </c>
      <c r="K1470" s="33">
        <f>SUM(J1470:J1470)</f>
        <v>2</v>
      </c>
      <c r="L1470" s="8"/>
      <c r="M1470" s="8"/>
      <c r="N1470" s="8"/>
    </row>
    <row r="1471" spans="1:14" ht="15.4" customHeight="1" thickBot="1" x14ac:dyDescent="0.25">
      <c r="A1471" s="36"/>
      <c r="B1471" s="36"/>
      <c r="C1471" s="36"/>
      <c r="D1471" s="37" t="s">
        <v>3530</v>
      </c>
      <c r="E1471" s="38"/>
      <c r="F1471" s="38"/>
      <c r="G1471" s="38"/>
      <c r="H1471" s="38"/>
      <c r="I1471" s="38"/>
      <c r="J1471" s="38"/>
      <c r="K1471" s="38"/>
      <c r="L1471" s="39">
        <f>M1384+M1388+M1393+M1397+M1401+M1405+M1409+M1414+M1419+M1423+M1427+M1431+M1435+M1439+M1443+M1447+M1451+M1455+M1459+M1463+M1467</f>
        <v>85168.249999999985</v>
      </c>
      <c r="M1471" s="39">
        <f>ROUND(L1471,2)</f>
        <v>85168.25</v>
      </c>
      <c r="N1471" s="8"/>
    </row>
    <row r="1472" spans="1:14" ht="15.4" customHeight="1" thickBot="1" x14ac:dyDescent="0.25">
      <c r="A1472" s="40" t="s">
        <v>3531</v>
      </c>
      <c r="B1472" s="40" t="s">
        <v>3532</v>
      </c>
      <c r="C1472" s="41"/>
      <c r="D1472" s="61" t="s">
        <v>3533</v>
      </c>
      <c r="E1472" s="61"/>
      <c r="F1472" s="61"/>
      <c r="G1472" s="61"/>
      <c r="H1472" s="61"/>
      <c r="I1472" s="61"/>
      <c r="J1472" s="61"/>
      <c r="K1472" s="41"/>
      <c r="L1472" s="42">
        <f>L1529</f>
        <v>15040.74</v>
      </c>
      <c r="M1472" s="42">
        <f>ROUND(L1472,2)</f>
        <v>15040.74</v>
      </c>
      <c r="N1472" s="8"/>
    </row>
    <row r="1473" spans="1:14" ht="15.4" customHeight="1" thickBot="1" x14ac:dyDescent="0.25">
      <c r="A1473" s="12" t="s">
        <v>3534</v>
      </c>
      <c r="B1473" s="6" t="s">
        <v>3535</v>
      </c>
      <c r="C1473" s="6" t="s">
        <v>3536</v>
      </c>
      <c r="D1473" s="60" t="s">
        <v>3537</v>
      </c>
      <c r="E1473" s="60"/>
      <c r="F1473" s="60"/>
      <c r="G1473" s="60"/>
      <c r="H1473" s="60"/>
      <c r="I1473" s="60"/>
      <c r="J1473" s="60"/>
      <c r="K1473" s="22">
        <f>SUM(K1476:K1476)</f>
        <v>15</v>
      </c>
      <c r="L1473" s="22">
        <f>ROUND(142.81*(1+M2/100),2)</f>
        <v>142.81</v>
      </c>
      <c r="M1473" s="22">
        <f>ROUND(K1473*L1473,2)</f>
        <v>2142.15</v>
      </c>
      <c r="N1473" s="8"/>
    </row>
    <row r="1474" spans="1:14" ht="30.95" customHeight="1" thickBot="1" x14ac:dyDescent="0.25">
      <c r="A1474" s="8"/>
      <c r="B1474" s="8"/>
      <c r="C1474" s="8"/>
      <c r="D1474" s="60" t="s">
        <v>3538</v>
      </c>
      <c r="E1474" s="60"/>
      <c r="F1474" s="60"/>
      <c r="G1474" s="60"/>
      <c r="H1474" s="60"/>
      <c r="I1474" s="60"/>
      <c r="J1474" s="60"/>
      <c r="K1474" s="60"/>
      <c r="L1474" s="60"/>
      <c r="M1474" s="60"/>
      <c r="N1474" s="8"/>
    </row>
    <row r="1475" spans="1:14" ht="15.4" customHeight="1" thickBot="1" x14ac:dyDescent="0.25">
      <c r="A1475" s="8"/>
      <c r="B1475" s="8"/>
      <c r="C1475" s="8"/>
      <c r="D1475" s="8"/>
      <c r="E1475" s="23"/>
      <c r="F1475" s="25" t="s">
        <v>3539</v>
      </c>
      <c r="G1475" s="25" t="s">
        <v>3540</v>
      </c>
      <c r="H1475" s="25" t="s">
        <v>3541</v>
      </c>
      <c r="I1475" s="25" t="s">
        <v>3542</v>
      </c>
      <c r="J1475" s="25" t="s">
        <v>3543</v>
      </c>
      <c r="K1475" s="25" t="s">
        <v>3544</v>
      </c>
      <c r="L1475" s="8"/>
      <c r="M1475" s="8"/>
      <c r="N1475" s="8"/>
    </row>
    <row r="1476" spans="1:14" ht="15.4" customHeight="1" thickBot="1" x14ac:dyDescent="0.25">
      <c r="A1476" s="8"/>
      <c r="B1476" s="8"/>
      <c r="C1476" s="8"/>
      <c r="D1476" s="26"/>
      <c r="E1476" s="27"/>
      <c r="F1476" s="28">
        <v>15</v>
      </c>
      <c r="G1476" s="29"/>
      <c r="H1476" s="29"/>
      <c r="I1476" s="29"/>
      <c r="J1476" s="31">
        <f>ROUND(F1476,2)</f>
        <v>15</v>
      </c>
      <c r="K1476" s="33">
        <f>SUM(J1476:J1476)</f>
        <v>15</v>
      </c>
      <c r="L1476" s="8"/>
      <c r="M1476" s="8"/>
      <c r="N1476" s="8"/>
    </row>
    <row r="1477" spans="1:14" ht="15.4" customHeight="1" thickBot="1" x14ac:dyDescent="0.25">
      <c r="A1477" s="12" t="s">
        <v>3545</v>
      </c>
      <c r="B1477" s="6" t="s">
        <v>3546</v>
      </c>
      <c r="C1477" s="6" t="s">
        <v>3547</v>
      </c>
      <c r="D1477" s="60" t="s">
        <v>3548</v>
      </c>
      <c r="E1477" s="60"/>
      <c r="F1477" s="60"/>
      <c r="G1477" s="60"/>
      <c r="H1477" s="60"/>
      <c r="I1477" s="60"/>
      <c r="J1477" s="60"/>
      <c r="K1477" s="22">
        <f>SUM(K1480:K1480)</f>
        <v>3</v>
      </c>
      <c r="L1477" s="22">
        <f>ROUND(148.8*(1+M2/100),2)</f>
        <v>148.80000000000001</v>
      </c>
      <c r="M1477" s="22">
        <f>ROUND(K1477*L1477,2)</f>
        <v>446.4</v>
      </c>
      <c r="N1477" s="8"/>
    </row>
    <row r="1478" spans="1:14" ht="30.95" customHeight="1" thickBot="1" x14ac:dyDescent="0.25">
      <c r="A1478" s="8"/>
      <c r="B1478" s="8"/>
      <c r="C1478" s="8"/>
      <c r="D1478" s="60" t="s">
        <v>3549</v>
      </c>
      <c r="E1478" s="60"/>
      <c r="F1478" s="60"/>
      <c r="G1478" s="60"/>
      <c r="H1478" s="60"/>
      <c r="I1478" s="60"/>
      <c r="J1478" s="60"/>
      <c r="K1478" s="60"/>
      <c r="L1478" s="60"/>
      <c r="M1478" s="60"/>
      <c r="N1478" s="8"/>
    </row>
    <row r="1479" spans="1:14" ht="15.4" customHeight="1" thickBot="1" x14ac:dyDescent="0.25">
      <c r="A1479" s="8"/>
      <c r="B1479" s="8"/>
      <c r="C1479" s="8"/>
      <c r="D1479" s="8"/>
      <c r="E1479" s="23"/>
      <c r="F1479" s="25" t="s">
        <v>3550</v>
      </c>
      <c r="G1479" s="25" t="s">
        <v>3551</v>
      </c>
      <c r="H1479" s="25" t="s">
        <v>3552</v>
      </c>
      <c r="I1479" s="25" t="s">
        <v>3553</v>
      </c>
      <c r="J1479" s="25" t="s">
        <v>3554</v>
      </c>
      <c r="K1479" s="25" t="s">
        <v>3555</v>
      </c>
      <c r="L1479" s="8"/>
      <c r="M1479" s="8"/>
      <c r="N1479" s="8"/>
    </row>
    <row r="1480" spans="1:14" ht="15.4" customHeight="1" thickBot="1" x14ac:dyDescent="0.25">
      <c r="A1480" s="8"/>
      <c r="B1480" s="8"/>
      <c r="C1480" s="8"/>
      <c r="D1480" s="26"/>
      <c r="E1480" s="27"/>
      <c r="F1480" s="28">
        <v>3</v>
      </c>
      <c r="G1480" s="29"/>
      <c r="H1480" s="29"/>
      <c r="I1480" s="29"/>
      <c r="J1480" s="31">
        <f>ROUND(F1480,2)</f>
        <v>3</v>
      </c>
      <c r="K1480" s="33">
        <f>SUM(J1480:J1480)</f>
        <v>3</v>
      </c>
      <c r="L1480" s="8"/>
      <c r="M1480" s="8"/>
      <c r="N1480" s="8"/>
    </row>
    <row r="1481" spans="1:14" ht="15.4" customHeight="1" thickBot="1" x14ac:dyDescent="0.25">
      <c r="A1481" s="12" t="s">
        <v>3556</v>
      </c>
      <c r="B1481" s="6" t="s">
        <v>3557</v>
      </c>
      <c r="C1481" s="6" t="s">
        <v>3558</v>
      </c>
      <c r="D1481" s="60" t="s">
        <v>3559</v>
      </c>
      <c r="E1481" s="60"/>
      <c r="F1481" s="60"/>
      <c r="G1481" s="60"/>
      <c r="H1481" s="60"/>
      <c r="I1481" s="60"/>
      <c r="J1481" s="60"/>
      <c r="K1481" s="22">
        <f>SUM(K1484:K1484)</f>
        <v>4</v>
      </c>
      <c r="L1481" s="22">
        <f>ROUND(184.46*(1+M2/100),2)</f>
        <v>184.46</v>
      </c>
      <c r="M1481" s="22">
        <f>ROUND(K1481*L1481,2)</f>
        <v>737.84</v>
      </c>
      <c r="N1481" s="8"/>
    </row>
    <row r="1482" spans="1:14" ht="30.95" customHeight="1" thickBot="1" x14ac:dyDescent="0.25">
      <c r="A1482" s="8"/>
      <c r="B1482" s="8"/>
      <c r="C1482" s="8"/>
      <c r="D1482" s="60" t="s">
        <v>3560</v>
      </c>
      <c r="E1482" s="60"/>
      <c r="F1482" s="60"/>
      <c r="G1482" s="60"/>
      <c r="H1482" s="60"/>
      <c r="I1482" s="60"/>
      <c r="J1482" s="60"/>
      <c r="K1482" s="60"/>
      <c r="L1482" s="60"/>
      <c r="M1482" s="60"/>
      <c r="N1482" s="8"/>
    </row>
    <row r="1483" spans="1:14" ht="15.4" customHeight="1" thickBot="1" x14ac:dyDescent="0.25">
      <c r="A1483" s="8"/>
      <c r="B1483" s="8"/>
      <c r="C1483" s="8"/>
      <c r="D1483" s="8"/>
      <c r="E1483" s="23"/>
      <c r="F1483" s="25" t="s">
        <v>3561</v>
      </c>
      <c r="G1483" s="25" t="s">
        <v>3562</v>
      </c>
      <c r="H1483" s="25" t="s">
        <v>3563</v>
      </c>
      <c r="I1483" s="25" t="s">
        <v>3564</v>
      </c>
      <c r="J1483" s="25" t="s">
        <v>3565</v>
      </c>
      <c r="K1483" s="25" t="s">
        <v>3566</v>
      </c>
      <c r="L1483" s="8"/>
      <c r="M1483" s="8"/>
      <c r="N1483" s="8"/>
    </row>
    <row r="1484" spans="1:14" ht="15.4" customHeight="1" thickBot="1" x14ac:dyDescent="0.25">
      <c r="A1484" s="8"/>
      <c r="B1484" s="8"/>
      <c r="C1484" s="8"/>
      <c r="D1484" s="26"/>
      <c r="E1484" s="27"/>
      <c r="F1484" s="28">
        <v>4</v>
      </c>
      <c r="G1484" s="29"/>
      <c r="H1484" s="29"/>
      <c r="I1484" s="29"/>
      <c r="J1484" s="31">
        <f>ROUND(F1484,2)</f>
        <v>4</v>
      </c>
      <c r="K1484" s="33">
        <f>SUM(J1484:J1484)</f>
        <v>4</v>
      </c>
      <c r="L1484" s="8"/>
      <c r="M1484" s="8"/>
      <c r="N1484" s="8"/>
    </row>
    <row r="1485" spans="1:14" ht="15.4" customHeight="1" thickBot="1" x14ac:dyDescent="0.25">
      <c r="A1485" s="12" t="s">
        <v>3567</v>
      </c>
      <c r="B1485" s="6" t="s">
        <v>3568</v>
      </c>
      <c r="C1485" s="6" t="s">
        <v>3569</v>
      </c>
      <c r="D1485" s="60" t="s">
        <v>3570</v>
      </c>
      <c r="E1485" s="60"/>
      <c r="F1485" s="60"/>
      <c r="G1485" s="60"/>
      <c r="H1485" s="60"/>
      <c r="I1485" s="60"/>
      <c r="J1485" s="60"/>
      <c r="K1485" s="22">
        <f>SUM(K1488:K1488)</f>
        <v>2</v>
      </c>
      <c r="L1485" s="22">
        <f>ROUND(214.26*(1+M2/100),2)</f>
        <v>214.26</v>
      </c>
      <c r="M1485" s="22">
        <f>ROUND(K1485*L1485,2)</f>
        <v>428.52</v>
      </c>
      <c r="N1485" s="8"/>
    </row>
    <row r="1486" spans="1:14" ht="21.6" customHeight="1" thickBot="1" x14ac:dyDescent="0.25">
      <c r="A1486" s="8"/>
      <c r="B1486" s="8"/>
      <c r="C1486" s="8"/>
      <c r="D1486" s="60" t="s">
        <v>3571</v>
      </c>
      <c r="E1486" s="60"/>
      <c r="F1486" s="60"/>
      <c r="G1486" s="60"/>
      <c r="H1486" s="60"/>
      <c r="I1486" s="60"/>
      <c r="J1486" s="60"/>
      <c r="K1486" s="60"/>
      <c r="L1486" s="60"/>
      <c r="M1486" s="60"/>
      <c r="N1486" s="8"/>
    </row>
    <row r="1487" spans="1:14" ht="15.4" customHeight="1" thickBot="1" x14ac:dyDescent="0.25">
      <c r="A1487" s="8"/>
      <c r="B1487" s="8"/>
      <c r="C1487" s="8"/>
      <c r="D1487" s="8"/>
      <c r="E1487" s="23"/>
      <c r="F1487" s="25" t="s">
        <v>3572</v>
      </c>
      <c r="G1487" s="25" t="s">
        <v>3573</v>
      </c>
      <c r="H1487" s="25" t="s">
        <v>3574</v>
      </c>
      <c r="I1487" s="25" t="s">
        <v>3575</v>
      </c>
      <c r="J1487" s="25" t="s">
        <v>3576</v>
      </c>
      <c r="K1487" s="25" t="s">
        <v>3577</v>
      </c>
      <c r="L1487" s="8"/>
      <c r="M1487" s="8"/>
      <c r="N1487" s="8"/>
    </row>
    <row r="1488" spans="1:14" ht="15.4" customHeight="1" thickBot="1" x14ac:dyDescent="0.25">
      <c r="A1488" s="8"/>
      <c r="B1488" s="8"/>
      <c r="C1488" s="8"/>
      <c r="D1488" s="26"/>
      <c r="E1488" s="27"/>
      <c r="F1488" s="28">
        <v>2</v>
      </c>
      <c r="G1488" s="29"/>
      <c r="H1488" s="29"/>
      <c r="I1488" s="29"/>
      <c r="J1488" s="31">
        <f>ROUND(F1488,2)</f>
        <v>2</v>
      </c>
      <c r="K1488" s="33">
        <f>SUM(J1488:J1488)</f>
        <v>2</v>
      </c>
      <c r="L1488" s="8"/>
      <c r="M1488" s="8"/>
      <c r="N1488" s="8"/>
    </row>
    <row r="1489" spans="1:14" ht="15.4" customHeight="1" thickBot="1" x14ac:dyDescent="0.25">
      <c r="A1489" s="12" t="s">
        <v>3578</v>
      </c>
      <c r="B1489" s="6" t="s">
        <v>3579</v>
      </c>
      <c r="C1489" s="6" t="s">
        <v>3580</v>
      </c>
      <c r="D1489" s="60" t="s">
        <v>3581</v>
      </c>
      <c r="E1489" s="60"/>
      <c r="F1489" s="60"/>
      <c r="G1489" s="60"/>
      <c r="H1489" s="60"/>
      <c r="I1489" s="60"/>
      <c r="J1489" s="60"/>
      <c r="K1489" s="22">
        <f>SUM(K1492:K1492)</f>
        <v>1</v>
      </c>
      <c r="L1489" s="22">
        <f>ROUND(376.18*(1+M2/100),2)</f>
        <v>376.18</v>
      </c>
      <c r="M1489" s="22">
        <f>ROUND(K1489*L1489,2)</f>
        <v>376.18</v>
      </c>
      <c r="N1489" s="8"/>
    </row>
    <row r="1490" spans="1:14" ht="21.6" customHeight="1" thickBot="1" x14ac:dyDescent="0.25">
      <c r="A1490" s="8"/>
      <c r="B1490" s="8"/>
      <c r="C1490" s="8"/>
      <c r="D1490" s="60" t="s">
        <v>3582</v>
      </c>
      <c r="E1490" s="60"/>
      <c r="F1490" s="60"/>
      <c r="G1490" s="60"/>
      <c r="H1490" s="60"/>
      <c r="I1490" s="60"/>
      <c r="J1490" s="60"/>
      <c r="K1490" s="60"/>
      <c r="L1490" s="60"/>
      <c r="M1490" s="60"/>
      <c r="N1490" s="8"/>
    </row>
    <row r="1491" spans="1:14" ht="15.4" customHeight="1" thickBot="1" x14ac:dyDescent="0.25">
      <c r="A1491" s="8"/>
      <c r="B1491" s="8"/>
      <c r="C1491" s="8"/>
      <c r="D1491" s="8"/>
      <c r="E1491" s="23"/>
      <c r="F1491" s="25" t="s">
        <v>3583</v>
      </c>
      <c r="G1491" s="25" t="s">
        <v>3584</v>
      </c>
      <c r="H1491" s="25" t="s">
        <v>3585</v>
      </c>
      <c r="I1491" s="25" t="s">
        <v>3586</v>
      </c>
      <c r="J1491" s="25" t="s">
        <v>3587</v>
      </c>
      <c r="K1491" s="25" t="s">
        <v>3588</v>
      </c>
      <c r="L1491" s="8"/>
      <c r="M1491" s="8"/>
      <c r="N1491" s="8"/>
    </row>
    <row r="1492" spans="1:14" ht="15.4" customHeight="1" thickBot="1" x14ac:dyDescent="0.25">
      <c r="A1492" s="8"/>
      <c r="B1492" s="8"/>
      <c r="C1492" s="8"/>
      <c r="D1492" s="26"/>
      <c r="E1492" s="27"/>
      <c r="F1492" s="28">
        <v>1</v>
      </c>
      <c r="G1492" s="29"/>
      <c r="H1492" s="29"/>
      <c r="I1492" s="29"/>
      <c r="J1492" s="31">
        <f>ROUND(F1492,2)</f>
        <v>1</v>
      </c>
      <c r="K1492" s="33">
        <f>SUM(J1492:J1492)</f>
        <v>1</v>
      </c>
      <c r="L1492" s="8"/>
      <c r="M1492" s="8"/>
      <c r="N1492" s="8"/>
    </row>
    <row r="1493" spans="1:14" ht="15.4" customHeight="1" thickBot="1" x14ac:dyDescent="0.25">
      <c r="A1493" s="12" t="s">
        <v>3589</v>
      </c>
      <c r="B1493" s="6" t="s">
        <v>3590</v>
      </c>
      <c r="C1493" s="6" t="s">
        <v>3591</v>
      </c>
      <c r="D1493" s="60" t="s">
        <v>3592</v>
      </c>
      <c r="E1493" s="60"/>
      <c r="F1493" s="60"/>
      <c r="G1493" s="60"/>
      <c r="H1493" s="60"/>
      <c r="I1493" s="60"/>
      <c r="J1493" s="60"/>
      <c r="K1493" s="22">
        <f>SUM(K1496:K1496)</f>
        <v>35</v>
      </c>
      <c r="L1493" s="22">
        <f>ROUND(12.49*(1+M2/100),2)</f>
        <v>12.49</v>
      </c>
      <c r="M1493" s="22">
        <f>ROUND(K1493*L1493,2)</f>
        <v>437.15</v>
      </c>
      <c r="N1493" s="8"/>
    </row>
    <row r="1494" spans="1:14" ht="30.95" customHeight="1" thickBot="1" x14ac:dyDescent="0.25">
      <c r="A1494" s="8"/>
      <c r="B1494" s="8"/>
      <c r="C1494" s="8"/>
      <c r="D1494" s="60" t="s">
        <v>3593</v>
      </c>
      <c r="E1494" s="60"/>
      <c r="F1494" s="60"/>
      <c r="G1494" s="60"/>
      <c r="H1494" s="60"/>
      <c r="I1494" s="60"/>
      <c r="J1494" s="60"/>
      <c r="K1494" s="60"/>
      <c r="L1494" s="60"/>
      <c r="M1494" s="60"/>
      <c r="N1494" s="8"/>
    </row>
    <row r="1495" spans="1:14" ht="15.4" customHeight="1" thickBot="1" x14ac:dyDescent="0.25">
      <c r="A1495" s="8"/>
      <c r="B1495" s="8"/>
      <c r="C1495" s="8"/>
      <c r="D1495" s="8"/>
      <c r="E1495" s="23"/>
      <c r="F1495" s="25" t="s">
        <v>3594</v>
      </c>
      <c r="G1495" s="25" t="s">
        <v>3595</v>
      </c>
      <c r="H1495" s="25" t="s">
        <v>3596</v>
      </c>
      <c r="I1495" s="25" t="s">
        <v>3597</v>
      </c>
      <c r="J1495" s="25" t="s">
        <v>3598</v>
      </c>
      <c r="K1495" s="25" t="s">
        <v>3599</v>
      </c>
      <c r="L1495" s="8"/>
      <c r="M1495" s="8"/>
      <c r="N1495" s="8"/>
    </row>
    <row r="1496" spans="1:14" ht="15.4" customHeight="1" thickBot="1" x14ac:dyDescent="0.25">
      <c r="A1496" s="8"/>
      <c r="B1496" s="8"/>
      <c r="C1496" s="8"/>
      <c r="D1496" s="26"/>
      <c r="E1496" s="27"/>
      <c r="F1496" s="28">
        <v>1</v>
      </c>
      <c r="G1496" s="29">
        <v>35</v>
      </c>
      <c r="H1496" s="29"/>
      <c r="I1496" s="29"/>
      <c r="J1496" s="31">
        <f>ROUND(F1496*G1496,2)</f>
        <v>35</v>
      </c>
      <c r="K1496" s="33">
        <f>SUM(J1496:J1496)</f>
        <v>35</v>
      </c>
      <c r="L1496" s="8"/>
      <c r="M1496" s="8"/>
      <c r="N1496" s="8"/>
    </row>
    <row r="1497" spans="1:14" ht="15.4" customHeight="1" thickBot="1" x14ac:dyDescent="0.25">
      <c r="A1497" s="12" t="s">
        <v>3600</v>
      </c>
      <c r="B1497" s="6" t="s">
        <v>3601</v>
      </c>
      <c r="C1497" s="6" t="s">
        <v>3602</v>
      </c>
      <c r="D1497" s="60" t="s">
        <v>3603</v>
      </c>
      <c r="E1497" s="60"/>
      <c r="F1497" s="60"/>
      <c r="G1497" s="60"/>
      <c r="H1497" s="60"/>
      <c r="I1497" s="60"/>
      <c r="J1497" s="60"/>
      <c r="K1497" s="22">
        <f>SUM(K1500:K1500)</f>
        <v>65</v>
      </c>
      <c r="L1497" s="22">
        <f>ROUND(14.28*(1+M2/100),2)</f>
        <v>14.28</v>
      </c>
      <c r="M1497" s="22">
        <f>ROUND(K1497*L1497,2)</f>
        <v>928.2</v>
      </c>
      <c r="N1497" s="8"/>
    </row>
    <row r="1498" spans="1:14" ht="30.95" customHeight="1" thickBot="1" x14ac:dyDescent="0.25">
      <c r="A1498" s="8"/>
      <c r="B1498" s="8"/>
      <c r="C1498" s="8"/>
      <c r="D1498" s="60" t="s">
        <v>3604</v>
      </c>
      <c r="E1498" s="60"/>
      <c r="F1498" s="60"/>
      <c r="G1498" s="60"/>
      <c r="H1498" s="60"/>
      <c r="I1498" s="60"/>
      <c r="J1498" s="60"/>
      <c r="K1498" s="60"/>
      <c r="L1498" s="60"/>
      <c r="M1498" s="60"/>
      <c r="N1498" s="8"/>
    </row>
    <row r="1499" spans="1:14" ht="15.4" customHeight="1" thickBot="1" x14ac:dyDescent="0.25">
      <c r="A1499" s="8"/>
      <c r="B1499" s="8"/>
      <c r="C1499" s="8"/>
      <c r="D1499" s="8"/>
      <c r="E1499" s="23"/>
      <c r="F1499" s="25" t="s">
        <v>3605</v>
      </c>
      <c r="G1499" s="25" t="s">
        <v>3606</v>
      </c>
      <c r="H1499" s="25" t="s">
        <v>3607</v>
      </c>
      <c r="I1499" s="25" t="s">
        <v>3608</v>
      </c>
      <c r="J1499" s="25" t="s">
        <v>3609</v>
      </c>
      <c r="K1499" s="25" t="s">
        <v>3610</v>
      </c>
      <c r="L1499" s="8"/>
      <c r="M1499" s="8"/>
      <c r="N1499" s="8"/>
    </row>
    <row r="1500" spans="1:14" ht="15.4" customHeight="1" thickBot="1" x14ac:dyDescent="0.25">
      <c r="A1500" s="8"/>
      <c r="B1500" s="8"/>
      <c r="C1500" s="8"/>
      <c r="D1500" s="26"/>
      <c r="E1500" s="27"/>
      <c r="F1500" s="28">
        <v>1</v>
      </c>
      <c r="G1500" s="29">
        <v>65</v>
      </c>
      <c r="H1500" s="29"/>
      <c r="I1500" s="29"/>
      <c r="J1500" s="31">
        <f>ROUND(F1500*G1500,2)</f>
        <v>65</v>
      </c>
      <c r="K1500" s="33">
        <f>SUM(J1500:J1500)</f>
        <v>65</v>
      </c>
      <c r="L1500" s="8"/>
      <c r="M1500" s="8"/>
      <c r="N1500" s="8"/>
    </row>
    <row r="1501" spans="1:14" ht="15.4" customHeight="1" thickBot="1" x14ac:dyDescent="0.25">
      <c r="A1501" s="12" t="s">
        <v>3611</v>
      </c>
      <c r="B1501" s="6" t="s">
        <v>3612</v>
      </c>
      <c r="C1501" s="6" t="s">
        <v>3613</v>
      </c>
      <c r="D1501" s="60" t="s">
        <v>3614</v>
      </c>
      <c r="E1501" s="60"/>
      <c r="F1501" s="60"/>
      <c r="G1501" s="60"/>
      <c r="H1501" s="60"/>
      <c r="I1501" s="60"/>
      <c r="J1501" s="60"/>
      <c r="K1501" s="22">
        <f>SUM(K1504:K1504)</f>
        <v>40</v>
      </c>
      <c r="L1501" s="22">
        <f>ROUND(17.85*(1+M2/100),2)</f>
        <v>17.850000000000001</v>
      </c>
      <c r="M1501" s="22">
        <f>ROUND(K1501*L1501,2)</f>
        <v>714</v>
      </c>
      <c r="N1501" s="8"/>
    </row>
    <row r="1502" spans="1:14" ht="30.95" customHeight="1" thickBot="1" x14ac:dyDescent="0.25">
      <c r="A1502" s="8"/>
      <c r="B1502" s="8"/>
      <c r="C1502" s="8"/>
      <c r="D1502" s="60" t="s">
        <v>3615</v>
      </c>
      <c r="E1502" s="60"/>
      <c r="F1502" s="60"/>
      <c r="G1502" s="60"/>
      <c r="H1502" s="60"/>
      <c r="I1502" s="60"/>
      <c r="J1502" s="60"/>
      <c r="K1502" s="60"/>
      <c r="L1502" s="60"/>
      <c r="M1502" s="60"/>
      <c r="N1502" s="8"/>
    </row>
    <row r="1503" spans="1:14" ht="15.4" customHeight="1" thickBot="1" x14ac:dyDescent="0.25">
      <c r="A1503" s="8"/>
      <c r="B1503" s="8"/>
      <c r="C1503" s="8"/>
      <c r="D1503" s="8"/>
      <c r="E1503" s="23"/>
      <c r="F1503" s="25" t="s">
        <v>3616</v>
      </c>
      <c r="G1503" s="25" t="s">
        <v>3617</v>
      </c>
      <c r="H1503" s="25" t="s">
        <v>3618</v>
      </c>
      <c r="I1503" s="25" t="s">
        <v>3619</v>
      </c>
      <c r="J1503" s="25" t="s">
        <v>3620</v>
      </c>
      <c r="K1503" s="25" t="s">
        <v>3621</v>
      </c>
      <c r="L1503" s="8"/>
      <c r="M1503" s="8"/>
      <c r="N1503" s="8"/>
    </row>
    <row r="1504" spans="1:14" ht="15.4" customHeight="1" thickBot="1" x14ac:dyDescent="0.25">
      <c r="A1504" s="8"/>
      <c r="B1504" s="8"/>
      <c r="C1504" s="8"/>
      <c r="D1504" s="26"/>
      <c r="E1504" s="27"/>
      <c r="F1504" s="28">
        <v>1</v>
      </c>
      <c r="G1504" s="29">
        <v>40</v>
      </c>
      <c r="H1504" s="29"/>
      <c r="I1504" s="29"/>
      <c r="J1504" s="31">
        <f>ROUND(F1504*G1504,2)</f>
        <v>40</v>
      </c>
      <c r="K1504" s="33">
        <f>SUM(J1504:J1504)</f>
        <v>40</v>
      </c>
      <c r="L1504" s="8"/>
      <c r="M1504" s="8"/>
      <c r="N1504" s="8"/>
    </row>
    <row r="1505" spans="1:14" ht="15.4" customHeight="1" thickBot="1" x14ac:dyDescent="0.25">
      <c r="A1505" s="12" t="s">
        <v>3622</v>
      </c>
      <c r="B1505" s="6" t="s">
        <v>3623</v>
      </c>
      <c r="C1505" s="6" t="s">
        <v>3624</v>
      </c>
      <c r="D1505" s="60" t="s">
        <v>3625</v>
      </c>
      <c r="E1505" s="60"/>
      <c r="F1505" s="60"/>
      <c r="G1505" s="60"/>
      <c r="H1505" s="60"/>
      <c r="I1505" s="60"/>
      <c r="J1505" s="60"/>
      <c r="K1505" s="22">
        <f>SUM(K1508:K1508)</f>
        <v>5</v>
      </c>
      <c r="L1505" s="22">
        <f>ROUND(25*(1+M2/100),2)</f>
        <v>25</v>
      </c>
      <c r="M1505" s="22">
        <f>ROUND(K1505*L1505,2)</f>
        <v>125</v>
      </c>
      <c r="N1505" s="8"/>
    </row>
    <row r="1506" spans="1:14" ht="30.95" customHeight="1" thickBot="1" x14ac:dyDescent="0.25">
      <c r="A1506" s="8"/>
      <c r="B1506" s="8"/>
      <c r="C1506" s="8"/>
      <c r="D1506" s="60" t="s">
        <v>3626</v>
      </c>
      <c r="E1506" s="60"/>
      <c r="F1506" s="60"/>
      <c r="G1506" s="60"/>
      <c r="H1506" s="60"/>
      <c r="I1506" s="60"/>
      <c r="J1506" s="60"/>
      <c r="K1506" s="60"/>
      <c r="L1506" s="60"/>
      <c r="M1506" s="60"/>
      <c r="N1506" s="8"/>
    </row>
    <row r="1507" spans="1:14" ht="15.4" customHeight="1" thickBot="1" x14ac:dyDescent="0.25">
      <c r="A1507" s="8"/>
      <c r="B1507" s="8"/>
      <c r="C1507" s="8"/>
      <c r="D1507" s="8"/>
      <c r="E1507" s="23"/>
      <c r="F1507" s="25" t="s">
        <v>3627</v>
      </c>
      <c r="G1507" s="25" t="s">
        <v>3628</v>
      </c>
      <c r="H1507" s="25" t="s">
        <v>3629</v>
      </c>
      <c r="I1507" s="25" t="s">
        <v>3630</v>
      </c>
      <c r="J1507" s="25" t="s">
        <v>3631</v>
      </c>
      <c r="K1507" s="25" t="s">
        <v>3632</v>
      </c>
      <c r="L1507" s="8"/>
      <c r="M1507" s="8"/>
      <c r="N1507" s="8"/>
    </row>
    <row r="1508" spans="1:14" ht="15.4" customHeight="1" thickBot="1" x14ac:dyDescent="0.25">
      <c r="A1508" s="8"/>
      <c r="B1508" s="8"/>
      <c r="C1508" s="8"/>
      <c r="D1508" s="26"/>
      <c r="E1508" s="27"/>
      <c r="F1508" s="28">
        <v>1</v>
      </c>
      <c r="G1508" s="29">
        <v>5</v>
      </c>
      <c r="H1508" s="29"/>
      <c r="I1508" s="29"/>
      <c r="J1508" s="31">
        <f>ROUND(F1508*G1508,2)</f>
        <v>5</v>
      </c>
      <c r="K1508" s="33">
        <f>SUM(J1508:J1508)</f>
        <v>5</v>
      </c>
      <c r="L1508" s="8"/>
      <c r="M1508" s="8"/>
      <c r="N1508" s="8"/>
    </row>
    <row r="1509" spans="1:14" ht="15.4" customHeight="1" thickBot="1" x14ac:dyDescent="0.25">
      <c r="A1509" s="12" t="s">
        <v>3633</v>
      </c>
      <c r="B1509" s="6" t="s">
        <v>3634</v>
      </c>
      <c r="C1509" s="6" t="s">
        <v>3635</v>
      </c>
      <c r="D1509" s="60" t="s">
        <v>3636</v>
      </c>
      <c r="E1509" s="60"/>
      <c r="F1509" s="60"/>
      <c r="G1509" s="60"/>
      <c r="H1509" s="60"/>
      <c r="I1509" s="60"/>
      <c r="J1509" s="60"/>
      <c r="K1509" s="22">
        <f>SUM(K1512:K1512)</f>
        <v>85</v>
      </c>
      <c r="L1509" s="22">
        <f>ROUND(19.04*(1+M2/100),2)</f>
        <v>19.04</v>
      </c>
      <c r="M1509" s="22">
        <f>ROUND(K1509*L1509,2)</f>
        <v>1618.4</v>
      </c>
      <c r="N1509" s="8"/>
    </row>
    <row r="1510" spans="1:14" ht="30.95" customHeight="1" thickBot="1" x14ac:dyDescent="0.25">
      <c r="A1510" s="8"/>
      <c r="B1510" s="8"/>
      <c r="C1510" s="8"/>
      <c r="D1510" s="60" t="s">
        <v>3637</v>
      </c>
      <c r="E1510" s="60"/>
      <c r="F1510" s="60"/>
      <c r="G1510" s="60"/>
      <c r="H1510" s="60"/>
      <c r="I1510" s="60"/>
      <c r="J1510" s="60"/>
      <c r="K1510" s="60"/>
      <c r="L1510" s="60"/>
      <c r="M1510" s="60"/>
      <c r="N1510" s="8"/>
    </row>
    <row r="1511" spans="1:14" ht="15.4" customHeight="1" thickBot="1" x14ac:dyDescent="0.25">
      <c r="A1511" s="8"/>
      <c r="B1511" s="8"/>
      <c r="C1511" s="8"/>
      <c r="D1511" s="8"/>
      <c r="E1511" s="23"/>
      <c r="F1511" s="25" t="s">
        <v>3638</v>
      </c>
      <c r="G1511" s="25" t="s">
        <v>3639</v>
      </c>
      <c r="H1511" s="25" t="s">
        <v>3640</v>
      </c>
      <c r="I1511" s="25" t="s">
        <v>3641</v>
      </c>
      <c r="J1511" s="25" t="s">
        <v>3642</v>
      </c>
      <c r="K1511" s="25" t="s">
        <v>3643</v>
      </c>
      <c r="L1511" s="8"/>
      <c r="M1511" s="8"/>
      <c r="N1511" s="8"/>
    </row>
    <row r="1512" spans="1:14" ht="15.4" customHeight="1" thickBot="1" x14ac:dyDescent="0.25">
      <c r="A1512" s="8"/>
      <c r="B1512" s="8"/>
      <c r="C1512" s="8"/>
      <c r="D1512" s="26"/>
      <c r="E1512" s="27"/>
      <c r="F1512" s="28">
        <v>1</v>
      </c>
      <c r="G1512" s="29">
        <v>85</v>
      </c>
      <c r="H1512" s="29"/>
      <c r="I1512" s="29"/>
      <c r="J1512" s="31">
        <f>ROUND(F1512*G1512,2)</f>
        <v>85</v>
      </c>
      <c r="K1512" s="33">
        <f>SUM(J1512:J1512)</f>
        <v>85</v>
      </c>
      <c r="L1512" s="8"/>
      <c r="M1512" s="8"/>
      <c r="N1512" s="8"/>
    </row>
    <row r="1513" spans="1:14" ht="15.4" customHeight="1" thickBot="1" x14ac:dyDescent="0.25">
      <c r="A1513" s="12" t="s">
        <v>3644</v>
      </c>
      <c r="B1513" s="6" t="s">
        <v>3645</v>
      </c>
      <c r="C1513" s="6" t="s">
        <v>3646</v>
      </c>
      <c r="D1513" s="60" t="s">
        <v>3647</v>
      </c>
      <c r="E1513" s="60"/>
      <c r="F1513" s="60"/>
      <c r="G1513" s="60"/>
      <c r="H1513" s="60"/>
      <c r="I1513" s="60"/>
      <c r="J1513" s="60"/>
      <c r="K1513" s="22">
        <f>SUM(K1516:K1516)</f>
        <v>85</v>
      </c>
      <c r="L1513" s="22">
        <f>ROUND(21.41*(1+M2/100),2)</f>
        <v>21.41</v>
      </c>
      <c r="M1513" s="22">
        <f>ROUND(K1513*L1513,2)</f>
        <v>1819.85</v>
      </c>
      <c r="N1513" s="8"/>
    </row>
    <row r="1514" spans="1:14" ht="30.95" customHeight="1" thickBot="1" x14ac:dyDescent="0.25">
      <c r="A1514" s="8"/>
      <c r="B1514" s="8"/>
      <c r="C1514" s="8"/>
      <c r="D1514" s="60" t="s">
        <v>3648</v>
      </c>
      <c r="E1514" s="60"/>
      <c r="F1514" s="60"/>
      <c r="G1514" s="60"/>
      <c r="H1514" s="60"/>
      <c r="I1514" s="60"/>
      <c r="J1514" s="60"/>
      <c r="K1514" s="60"/>
      <c r="L1514" s="60"/>
      <c r="M1514" s="60"/>
      <c r="N1514" s="8"/>
    </row>
    <row r="1515" spans="1:14" ht="15.4" customHeight="1" thickBot="1" x14ac:dyDescent="0.25">
      <c r="A1515" s="8"/>
      <c r="B1515" s="8"/>
      <c r="C1515" s="8"/>
      <c r="D1515" s="8"/>
      <c r="E1515" s="23"/>
      <c r="F1515" s="25" t="s">
        <v>3649</v>
      </c>
      <c r="G1515" s="25" t="s">
        <v>3650</v>
      </c>
      <c r="H1515" s="25" t="s">
        <v>3651</v>
      </c>
      <c r="I1515" s="25" t="s">
        <v>3652</v>
      </c>
      <c r="J1515" s="25" t="s">
        <v>3653</v>
      </c>
      <c r="K1515" s="25" t="s">
        <v>3654</v>
      </c>
      <c r="L1515" s="8"/>
      <c r="M1515" s="8"/>
      <c r="N1515" s="8"/>
    </row>
    <row r="1516" spans="1:14" ht="15.4" customHeight="1" thickBot="1" x14ac:dyDescent="0.25">
      <c r="A1516" s="8"/>
      <c r="B1516" s="8"/>
      <c r="C1516" s="8"/>
      <c r="D1516" s="26"/>
      <c r="E1516" s="27"/>
      <c r="F1516" s="28">
        <v>1</v>
      </c>
      <c r="G1516" s="29">
        <v>85</v>
      </c>
      <c r="H1516" s="29"/>
      <c r="I1516" s="29"/>
      <c r="J1516" s="31">
        <f>ROUND(F1516*G1516,2)</f>
        <v>85</v>
      </c>
      <c r="K1516" s="33">
        <f>SUM(J1516:J1516)</f>
        <v>85</v>
      </c>
      <c r="L1516" s="8"/>
      <c r="M1516" s="8"/>
      <c r="N1516" s="8"/>
    </row>
    <row r="1517" spans="1:14" ht="15.4" customHeight="1" thickBot="1" x14ac:dyDescent="0.25">
      <c r="A1517" s="12" t="s">
        <v>3655</v>
      </c>
      <c r="B1517" s="6" t="s">
        <v>3656</v>
      </c>
      <c r="C1517" s="6" t="s">
        <v>3657</v>
      </c>
      <c r="D1517" s="60" t="s">
        <v>3658</v>
      </c>
      <c r="E1517" s="60"/>
      <c r="F1517" s="60"/>
      <c r="G1517" s="60"/>
      <c r="H1517" s="60"/>
      <c r="I1517" s="60"/>
      <c r="J1517" s="60"/>
      <c r="K1517" s="22">
        <f>SUM(K1520:K1520)</f>
        <v>60</v>
      </c>
      <c r="L1517" s="22">
        <f>ROUND(23.8*(1+M2/100),2)</f>
        <v>23.8</v>
      </c>
      <c r="M1517" s="22">
        <f>ROUND(K1517*L1517,2)</f>
        <v>1428</v>
      </c>
      <c r="N1517" s="8"/>
    </row>
    <row r="1518" spans="1:14" ht="30.95" customHeight="1" thickBot="1" x14ac:dyDescent="0.25">
      <c r="A1518" s="8"/>
      <c r="B1518" s="8"/>
      <c r="C1518" s="8"/>
      <c r="D1518" s="60" t="s">
        <v>3659</v>
      </c>
      <c r="E1518" s="60"/>
      <c r="F1518" s="60"/>
      <c r="G1518" s="60"/>
      <c r="H1518" s="60"/>
      <c r="I1518" s="60"/>
      <c r="J1518" s="60"/>
      <c r="K1518" s="60"/>
      <c r="L1518" s="60"/>
      <c r="M1518" s="60"/>
      <c r="N1518" s="8"/>
    </row>
    <row r="1519" spans="1:14" ht="15.4" customHeight="1" thickBot="1" x14ac:dyDescent="0.25">
      <c r="A1519" s="8"/>
      <c r="B1519" s="8"/>
      <c r="C1519" s="8"/>
      <c r="D1519" s="8"/>
      <c r="E1519" s="23"/>
      <c r="F1519" s="25" t="s">
        <v>3660</v>
      </c>
      <c r="G1519" s="25" t="s">
        <v>3661</v>
      </c>
      <c r="H1519" s="25" t="s">
        <v>3662</v>
      </c>
      <c r="I1519" s="25" t="s">
        <v>3663</v>
      </c>
      <c r="J1519" s="25" t="s">
        <v>3664</v>
      </c>
      <c r="K1519" s="25" t="s">
        <v>3665</v>
      </c>
      <c r="L1519" s="8"/>
      <c r="M1519" s="8"/>
      <c r="N1519" s="8"/>
    </row>
    <row r="1520" spans="1:14" ht="15.4" customHeight="1" thickBot="1" x14ac:dyDescent="0.25">
      <c r="A1520" s="8"/>
      <c r="B1520" s="8"/>
      <c r="C1520" s="8"/>
      <c r="D1520" s="26"/>
      <c r="E1520" s="27"/>
      <c r="F1520" s="28">
        <v>1</v>
      </c>
      <c r="G1520" s="29">
        <v>60</v>
      </c>
      <c r="H1520" s="29"/>
      <c r="I1520" s="29"/>
      <c r="J1520" s="31">
        <f>ROUND(F1520*G1520,2)</f>
        <v>60</v>
      </c>
      <c r="K1520" s="33">
        <f>SUM(J1520:J1520)</f>
        <v>60</v>
      </c>
      <c r="L1520" s="8"/>
      <c r="M1520" s="8"/>
      <c r="N1520" s="8"/>
    </row>
    <row r="1521" spans="1:14" ht="15.4" customHeight="1" thickBot="1" x14ac:dyDescent="0.25">
      <c r="A1521" s="12" t="s">
        <v>3666</v>
      </c>
      <c r="B1521" s="6" t="s">
        <v>3667</v>
      </c>
      <c r="C1521" s="6" t="s">
        <v>3668</v>
      </c>
      <c r="D1521" s="60" t="s">
        <v>3669</v>
      </c>
      <c r="E1521" s="60"/>
      <c r="F1521" s="60"/>
      <c r="G1521" s="60"/>
      <c r="H1521" s="60"/>
      <c r="I1521" s="60"/>
      <c r="J1521" s="60"/>
      <c r="K1521" s="22">
        <f>SUM(K1524:K1524)</f>
        <v>65</v>
      </c>
      <c r="L1521" s="22">
        <f>ROUND(29.77*(1+M2/100),2)</f>
        <v>29.77</v>
      </c>
      <c r="M1521" s="22">
        <f>ROUND(K1521*L1521,2)</f>
        <v>1935.05</v>
      </c>
      <c r="N1521" s="8"/>
    </row>
    <row r="1522" spans="1:14" ht="30.95" customHeight="1" thickBot="1" x14ac:dyDescent="0.25">
      <c r="A1522" s="8"/>
      <c r="B1522" s="8"/>
      <c r="C1522" s="8"/>
      <c r="D1522" s="60" t="s">
        <v>3670</v>
      </c>
      <c r="E1522" s="60"/>
      <c r="F1522" s="60"/>
      <c r="G1522" s="60"/>
      <c r="H1522" s="60"/>
      <c r="I1522" s="60"/>
      <c r="J1522" s="60"/>
      <c r="K1522" s="60"/>
      <c r="L1522" s="60"/>
      <c r="M1522" s="60"/>
      <c r="N1522" s="8"/>
    </row>
    <row r="1523" spans="1:14" ht="15.4" customHeight="1" thickBot="1" x14ac:dyDescent="0.25">
      <c r="A1523" s="8"/>
      <c r="B1523" s="8"/>
      <c r="C1523" s="8"/>
      <c r="D1523" s="8"/>
      <c r="E1523" s="23"/>
      <c r="F1523" s="25" t="s">
        <v>3671</v>
      </c>
      <c r="G1523" s="25" t="s">
        <v>3672</v>
      </c>
      <c r="H1523" s="25" t="s">
        <v>3673</v>
      </c>
      <c r="I1523" s="25" t="s">
        <v>3674</v>
      </c>
      <c r="J1523" s="25" t="s">
        <v>3675</v>
      </c>
      <c r="K1523" s="25" t="s">
        <v>3676</v>
      </c>
      <c r="L1523" s="8"/>
      <c r="M1523" s="8"/>
      <c r="N1523" s="8"/>
    </row>
    <row r="1524" spans="1:14" ht="15.4" customHeight="1" thickBot="1" x14ac:dyDescent="0.25">
      <c r="A1524" s="8"/>
      <c r="B1524" s="8"/>
      <c r="C1524" s="8"/>
      <c r="D1524" s="26"/>
      <c r="E1524" s="27"/>
      <c r="F1524" s="28">
        <v>1</v>
      </c>
      <c r="G1524" s="29">
        <v>65</v>
      </c>
      <c r="H1524" s="29"/>
      <c r="I1524" s="29"/>
      <c r="J1524" s="31">
        <f>ROUND(F1524*G1524,2)</f>
        <v>65</v>
      </c>
      <c r="K1524" s="33">
        <f>SUM(J1524:J1524)</f>
        <v>65</v>
      </c>
      <c r="L1524" s="8"/>
      <c r="M1524" s="8"/>
      <c r="N1524" s="8"/>
    </row>
    <row r="1525" spans="1:14" ht="15.4" customHeight="1" thickBot="1" x14ac:dyDescent="0.25">
      <c r="A1525" s="12" t="s">
        <v>3677</v>
      </c>
      <c r="B1525" s="6" t="s">
        <v>3678</v>
      </c>
      <c r="C1525" s="6" t="s">
        <v>3679</v>
      </c>
      <c r="D1525" s="60" t="s">
        <v>3680</v>
      </c>
      <c r="E1525" s="60"/>
      <c r="F1525" s="60"/>
      <c r="G1525" s="60"/>
      <c r="H1525" s="60"/>
      <c r="I1525" s="60"/>
      <c r="J1525" s="60"/>
      <c r="K1525" s="22">
        <f>SUM(K1528:K1528)</f>
        <v>50</v>
      </c>
      <c r="L1525" s="22">
        <f>ROUND(38.08*(1+M2/100),2)</f>
        <v>38.08</v>
      </c>
      <c r="M1525" s="22">
        <f>ROUND(K1525*L1525,2)</f>
        <v>1904</v>
      </c>
      <c r="N1525" s="8"/>
    </row>
    <row r="1526" spans="1:14" ht="30.95" customHeight="1" thickBot="1" x14ac:dyDescent="0.25">
      <c r="A1526" s="8"/>
      <c r="B1526" s="8"/>
      <c r="C1526" s="8"/>
      <c r="D1526" s="60" t="s">
        <v>3681</v>
      </c>
      <c r="E1526" s="60"/>
      <c r="F1526" s="60"/>
      <c r="G1526" s="60"/>
      <c r="H1526" s="60"/>
      <c r="I1526" s="60"/>
      <c r="J1526" s="60"/>
      <c r="K1526" s="60"/>
      <c r="L1526" s="60"/>
      <c r="M1526" s="60"/>
      <c r="N1526" s="8"/>
    </row>
    <row r="1527" spans="1:14" ht="15.4" customHeight="1" thickBot="1" x14ac:dyDescent="0.25">
      <c r="A1527" s="8"/>
      <c r="B1527" s="8"/>
      <c r="C1527" s="8"/>
      <c r="D1527" s="8"/>
      <c r="E1527" s="23"/>
      <c r="F1527" s="25" t="s">
        <v>3682</v>
      </c>
      <c r="G1527" s="25" t="s">
        <v>3683</v>
      </c>
      <c r="H1527" s="25" t="s">
        <v>3684</v>
      </c>
      <c r="I1527" s="25" t="s">
        <v>3685</v>
      </c>
      <c r="J1527" s="25" t="s">
        <v>3686</v>
      </c>
      <c r="K1527" s="25" t="s">
        <v>3687</v>
      </c>
      <c r="L1527" s="8"/>
      <c r="M1527" s="8"/>
      <c r="N1527" s="8"/>
    </row>
    <row r="1528" spans="1:14" ht="15.4" customHeight="1" thickBot="1" x14ac:dyDescent="0.25">
      <c r="A1528" s="8"/>
      <c r="B1528" s="8"/>
      <c r="C1528" s="8"/>
      <c r="D1528" s="26"/>
      <c r="E1528" s="27"/>
      <c r="F1528" s="28">
        <v>1</v>
      </c>
      <c r="G1528" s="29">
        <v>50</v>
      </c>
      <c r="H1528" s="29"/>
      <c r="I1528" s="29"/>
      <c r="J1528" s="31">
        <f>ROUND(F1528*G1528,2)</f>
        <v>50</v>
      </c>
      <c r="K1528" s="33">
        <f>SUM(J1528:J1528)</f>
        <v>50</v>
      </c>
      <c r="L1528" s="8"/>
      <c r="M1528" s="8"/>
      <c r="N1528" s="8"/>
    </row>
    <row r="1529" spans="1:14" ht="15.4" customHeight="1" thickBot="1" x14ac:dyDescent="0.25">
      <c r="A1529" s="36"/>
      <c r="B1529" s="36"/>
      <c r="C1529" s="36"/>
      <c r="D1529" s="37" t="s">
        <v>3688</v>
      </c>
      <c r="E1529" s="38"/>
      <c r="F1529" s="38"/>
      <c r="G1529" s="38"/>
      <c r="H1529" s="38"/>
      <c r="I1529" s="38"/>
      <c r="J1529" s="38"/>
      <c r="K1529" s="38"/>
      <c r="L1529" s="39">
        <f>M1473+M1477+M1481+M1485+M1489+M1493+M1497+M1501+M1505+M1509+M1513+M1517+M1521+M1525</f>
        <v>15040.74</v>
      </c>
      <c r="M1529" s="39">
        <f>ROUND(L1529,2)</f>
        <v>15040.74</v>
      </c>
      <c r="N1529" s="8"/>
    </row>
    <row r="1530" spans="1:14" ht="15.4" customHeight="1" thickBot="1" x14ac:dyDescent="0.25">
      <c r="A1530" s="40" t="s">
        <v>3689</v>
      </c>
      <c r="B1530" s="40" t="s">
        <v>3690</v>
      </c>
      <c r="C1530" s="41"/>
      <c r="D1530" s="61" t="s">
        <v>3691</v>
      </c>
      <c r="E1530" s="61"/>
      <c r="F1530" s="61"/>
      <c r="G1530" s="61"/>
      <c r="H1530" s="61"/>
      <c r="I1530" s="61"/>
      <c r="J1530" s="61"/>
      <c r="K1530" s="41"/>
      <c r="L1530" s="42">
        <f>L1578</f>
        <v>33938.729999999996</v>
      </c>
      <c r="M1530" s="42">
        <f>ROUND(L1530,2)</f>
        <v>33938.730000000003</v>
      </c>
      <c r="N1530" s="8"/>
    </row>
    <row r="1531" spans="1:14" ht="15.4" customHeight="1" thickBot="1" x14ac:dyDescent="0.25">
      <c r="A1531" s="12" t="s">
        <v>3692</v>
      </c>
      <c r="B1531" s="6" t="s">
        <v>3693</v>
      </c>
      <c r="C1531" s="6" t="s">
        <v>3694</v>
      </c>
      <c r="D1531" s="60" t="s">
        <v>3695</v>
      </c>
      <c r="E1531" s="60"/>
      <c r="F1531" s="60"/>
      <c r="G1531" s="60"/>
      <c r="H1531" s="60"/>
      <c r="I1531" s="60"/>
      <c r="J1531" s="60"/>
      <c r="K1531" s="22">
        <f>SUM(K1534:K1534)</f>
        <v>19</v>
      </c>
      <c r="L1531" s="22">
        <f>ROUND(54.74*(1+M2/100),2)</f>
        <v>54.74</v>
      </c>
      <c r="M1531" s="22">
        <f>ROUND(K1531*L1531,2)</f>
        <v>1040.06</v>
      </c>
      <c r="N1531" s="8"/>
    </row>
    <row r="1532" spans="1:14" ht="21.6" customHeight="1" thickBot="1" x14ac:dyDescent="0.25">
      <c r="A1532" s="8"/>
      <c r="B1532" s="8"/>
      <c r="C1532" s="8"/>
      <c r="D1532" s="60" t="s">
        <v>3696</v>
      </c>
      <c r="E1532" s="60"/>
      <c r="F1532" s="60"/>
      <c r="G1532" s="60"/>
      <c r="H1532" s="60"/>
      <c r="I1532" s="60"/>
      <c r="J1532" s="60"/>
      <c r="K1532" s="60"/>
      <c r="L1532" s="60"/>
      <c r="M1532" s="60"/>
      <c r="N1532" s="8"/>
    </row>
    <row r="1533" spans="1:14" ht="15.4" customHeight="1" thickBot="1" x14ac:dyDescent="0.25">
      <c r="A1533" s="8"/>
      <c r="B1533" s="8"/>
      <c r="C1533" s="8"/>
      <c r="D1533" s="8"/>
      <c r="E1533" s="23"/>
      <c r="F1533" s="25" t="s">
        <v>3697</v>
      </c>
      <c r="G1533" s="25" t="s">
        <v>3698</v>
      </c>
      <c r="H1533" s="25" t="s">
        <v>3699</v>
      </c>
      <c r="I1533" s="25" t="s">
        <v>3700</v>
      </c>
      <c r="J1533" s="25" t="s">
        <v>3701</v>
      </c>
      <c r="K1533" s="25" t="s">
        <v>3702</v>
      </c>
      <c r="L1533" s="8"/>
      <c r="M1533" s="8"/>
      <c r="N1533" s="8"/>
    </row>
    <row r="1534" spans="1:14" ht="15.4" customHeight="1" thickBot="1" x14ac:dyDescent="0.25">
      <c r="A1534" s="8"/>
      <c r="B1534" s="8"/>
      <c r="C1534" s="8"/>
      <c r="D1534" s="26"/>
      <c r="E1534" s="27"/>
      <c r="F1534" s="28">
        <v>19</v>
      </c>
      <c r="G1534" s="29"/>
      <c r="H1534" s="29"/>
      <c r="I1534" s="29"/>
      <c r="J1534" s="31">
        <f>ROUND(F1534,2)</f>
        <v>19</v>
      </c>
      <c r="K1534" s="33">
        <f>SUM(J1534:J1534)</f>
        <v>19</v>
      </c>
      <c r="L1534" s="8"/>
      <c r="M1534" s="8"/>
      <c r="N1534" s="8"/>
    </row>
    <row r="1535" spans="1:14" ht="15.4" customHeight="1" thickBot="1" x14ac:dyDescent="0.25">
      <c r="A1535" s="12" t="s">
        <v>3703</v>
      </c>
      <c r="B1535" s="6" t="s">
        <v>3704</v>
      </c>
      <c r="C1535" s="6" t="s">
        <v>3705</v>
      </c>
      <c r="D1535" s="60" t="s">
        <v>3706</v>
      </c>
      <c r="E1535" s="60"/>
      <c r="F1535" s="60"/>
      <c r="G1535" s="60"/>
      <c r="H1535" s="60"/>
      <c r="I1535" s="60"/>
      <c r="J1535" s="60"/>
      <c r="K1535" s="22">
        <f>SUM(K1538:K1544)</f>
        <v>380</v>
      </c>
      <c r="L1535" s="22">
        <f>ROUND(39.27*(1+M2/100),2)</f>
        <v>39.270000000000003</v>
      </c>
      <c r="M1535" s="22">
        <f>ROUND(K1535*L1535,2)</f>
        <v>14922.6</v>
      </c>
      <c r="N1535" s="8"/>
    </row>
    <row r="1536" spans="1:14" ht="40.35" customHeight="1" thickBot="1" x14ac:dyDescent="0.25">
      <c r="A1536" s="8"/>
      <c r="B1536" s="8"/>
      <c r="C1536" s="8"/>
      <c r="D1536" s="60" t="s">
        <v>3707</v>
      </c>
      <c r="E1536" s="60"/>
      <c r="F1536" s="60"/>
      <c r="G1536" s="60"/>
      <c r="H1536" s="60"/>
      <c r="I1536" s="60"/>
      <c r="J1536" s="60"/>
      <c r="K1536" s="60"/>
      <c r="L1536" s="60"/>
      <c r="M1536" s="60"/>
      <c r="N1536" s="8"/>
    </row>
    <row r="1537" spans="1:14" ht="15.4" customHeight="1" thickBot="1" x14ac:dyDescent="0.25">
      <c r="A1537" s="8"/>
      <c r="B1537" s="8"/>
      <c r="C1537" s="8"/>
      <c r="D1537" s="8"/>
      <c r="E1537" s="23"/>
      <c r="F1537" s="25" t="s">
        <v>3708</v>
      </c>
      <c r="G1537" s="25" t="s">
        <v>3709</v>
      </c>
      <c r="H1537" s="25" t="s">
        <v>3710</v>
      </c>
      <c r="I1537" s="25" t="s">
        <v>3711</v>
      </c>
      <c r="J1537" s="25" t="s">
        <v>3712</v>
      </c>
      <c r="K1537" s="25" t="s">
        <v>3713</v>
      </c>
      <c r="L1537" s="8"/>
      <c r="M1537" s="8"/>
      <c r="N1537" s="8"/>
    </row>
    <row r="1538" spans="1:14" ht="15.4" customHeight="1" thickBot="1" x14ac:dyDescent="0.25">
      <c r="A1538" s="8"/>
      <c r="B1538" s="8"/>
      <c r="C1538" s="8"/>
      <c r="D1538" s="26"/>
      <c r="E1538" s="27" t="s">
        <v>3714</v>
      </c>
      <c r="F1538" s="28"/>
      <c r="G1538" s="29"/>
      <c r="H1538" s="29"/>
      <c r="I1538" s="29"/>
      <c r="J1538" s="34" t="s">
        <v>3715</v>
      </c>
      <c r="K1538" s="35"/>
      <c r="L1538" s="8"/>
      <c r="M1538" s="8"/>
      <c r="N1538" s="8"/>
    </row>
    <row r="1539" spans="1:14" ht="15.4" customHeight="1" thickBot="1" x14ac:dyDescent="0.25">
      <c r="A1539" s="8"/>
      <c r="B1539" s="8"/>
      <c r="C1539" s="8"/>
      <c r="D1539" s="26"/>
      <c r="E1539" s="6" t="s">
        <v>3716</v>
      </c>
      <c r="F1539" s="4">
        <v>1</v>
      </c>
      <c r="G1539" s="22">
        <v>125</v>
      </c>
      <c r="H1539" s="22"/>
      <c r="I1539" s="22"/>
      <c r="J1539" s="30">
        <f>ROUND(F1539*G1539,2)</f>
        <v>125</v>
      </c>
      <c r="K1539" s="8"/>
      <c r="L1539" s="8"/>
      <c r="M1539" s="8"/>
      <c r="N1539" s="8"/>
    </row>
    <row r="1540" spans="1:14" ht="15.4" customHeight="1" thickBot="1" x14ac:dyDescent="0.25">
      <c r="A1540" s="8"/>
      <c r="B1540" s="8"/>
      <c r="C1540" s="8"/>
      <c r="D1540" s="26"/>
      <c r="E1540" s="6" t="s">
        <v>3717</v>
      </c>
      <c r="F1540" s="4">
        <v>1</v>
      </c>
      <c r="G1540" s="22">
        <v>85</v>
      </c>
      <c r="H1540" s="22"/>
      <c r="I1540" s="22"/>
      <c r="J1540" s="30">
        <f>ROUND(F1540*G1540,2)</f>
        <v>85</v>
      </c>
      <c r="K1540" s="8"/>
      <c r="L1540" s="8"/>
      <c r="M1540" s="8"/>
      <c r="N1540" s="8"/>
    </row>
    <row r="1541" spans="1:14" ht="15.4" customHeight="1" thickBot="1" x14ac:dyDescent="0.25">
      <c r="A1541" s="8"/>
      <c r="B1541" s="8"/>
      <c r="C1541" s="8"/>
      <c r="D1541" s="26"/>
      <c r="E1541" s="6" t="s">
        <v>3718</v>
      </c>
      <c r="F1541" s="4"/>
      <c r="G1541" s="22"/>
      <c r="H1541" s="22"/>
      <c r="I1541" s="22"/>
      <c r="J1541" s="24" t="s">
        <v>3719</v>
      </c>
      <c r="K1541" s="8"/>
      <c r="L1541" s="8"/>
      <c r="M1541" s="8"/>
      <c r="N1541" s="8"/>
    </row>
    <row r="1542" spans="1:14" ht="15.4" customHeight="1" thickBot="1" x14ac:dyDescent="0.25">
      <c r="A1542" s="8"/>
      <c r="B1542" s="8"/>
      <c r="C1542" s="8"/>
      <c r="D1542" s="26"/>
      <c r="E1542" s="6" t="s">
        <v>3720</v>
      </c>
      <c r="F1542" s="4">
        <v>1</v>
      </c>
      <c r="G1542" s="22">
        <v>85</v>
      </c>
      <c r="H1542" s="22"/>
      <c r="I1542" s="22"/>
      <c r="J1542" s="30">
        <f>ROUND(F1542*G1542,2)</f>
        <v>85</v>
      </c>
      <c r="K1542" s="8"/>
      <c r="L1542" s="8"/>
      <c r="M1542" s="8"/>
      <c r="N1542" s="8"/>
    </row>
    <row r="1543" spans="1:14" ht="15.4" customHeight="1" thickBot="1" x14ac:dyDescent="0.25">
      <c r="A1543" s="8"/>
      <c r="B1543" s="8"/>
      <c r="C1543" s="8"/>
      <c r="D1543" s="26"/>
      <c r="E1543" s="6" t="s">
        <v>3721</v>
      </c>
      <c r="F1543" s="4">
        <v>1</v>
      </c>
      <c r="G1543" s="22">
        <v>75</v>
      </c>
      <c r="H1543" s="22"/>
      <c r="I1543" s="22"/>
      <c r="J1543" s="30">
        <f>ROUND(F1543*G1543,2)</f>
        <v>75</v>
      </c>
      <c r="K1543" s="8"/>
      <c r="L1543" s="8"/>
      <c r="M1543" s="8"/>
      <c r="N1543" s="8"/>
    </row>
    <row r="1544" spans="1:14" ht="15.4" customHeight="1" thickBot="1" x14ac:dyDescent="0.25">
      <c r="A1544" s="8"/>
      <c r="B1544" s="8"/>
      <c r="C1544" s="8"/>
      <c r="D1544" s="26"/>
      <c r="E1544" s="6" t="s">
        <v>3722</v>
      </c>
      <c r="F1544" s="4">
        <v>2</v>
      </c>
      <c r="G1544" s="22">
        <v>5</v>
      </c>
      <c r="H1544" s="22"/>
      <c r="I1544" s="22"/>
      <c r="J1544" s="30">
        <f>ROUND(F1544*G1544,2)</f>
        <v>10</v>
      </c>
      <c r="K1544" s="32">
        <f>SUM(J1538:J1544)</f>
        <v>380</v>
      </c>
      <c r="L1544" s="8"/>
      <c r="M1544" s="8"/>
      <c r="N1544" s="8"/>
    </row>
    <row r="1545" spans="1:14" ht="15.4" customHeight="1" thickBot="1" x14ac:dyDescent="0.25">
      <c r="A1545" s="12" t="s">
        <v>3723</v>
      </c>
      <c r="B1545" s="6" t="s">
        <v>3724</v>
      </c>
      <c r="C1545" s="6" t="s">
        <v>3725</v>
      </c>
      <c r="D1545" s="60" t="s">
        <v>3726</v>
      </c>
      <c r="E1545" s="60"/>
      <c r="F1545" s="60"/>
      <c r="G1545" s="60"/>
      <c r="H1545" s="60"/>
      <c r="I1545" s="60"/>
      <c r="J1545" s="60"/>
      <c r="K1545" s="22">
        <f>SUM(K1548:K1550)</f>
        <v>160</v>
      </c>
      <c r="L1545" s="22">
        <f>ROUND(51.76*(1+M2/100),2)</f>
        <v>51.76</v>
      </c>
      <c r="M1545" s="22">
        <f>ROUND(K1545*L1545,2)</f>
        <v>8281.6</v>
      </c>
      <c r="N1545" s="8"/>
    </row>
    <row r="1546" spans="1:14" ht="21.6" customHeight="1" thickBot="1" x14ac:dyDescent="0.25">
      <c r="A1546" s="8"/>
      <c r="B1546" s="8"/>
      <c r="C1546" s="8"/>
      <c r="D1546" s="60" t="s">
        <v>3727</v>
      </c>
      <c r="E1546" s="60"/>
      <c r="F1546" s="60"/>
      <c r="G1546" s="60"/>
      <c r="H1546" s="60"/>
      <c r="I1546" s="60"/>
      <c r="J1546" s="60"/>
      <c r="K1546" s="60"/>
      <c r="L1546" s="60"/>
      <c r="M1546" s="60"/>
      <c r="N1546" s="8"/>
    </row>
    <row r="1547" spans="1:14" ht="15.4" customHeight="1" thickBot="1" x14ac:dyDescent="0.25">
      <c r="A1547" s="8"/>
      <c r="B1547" s="8"/>
      <c r="C1547" s="8"/>
      <c r="D1547" s="8"/>
      <c r="E1547" s="23"/>
      <c r="F1547" s="25" t="s">
        <v>3728</v>
      </c>
      <c r="G1547" s="25" t="s">
        <v>3729</v>
      </c>
      <c r="H1547" s="25" t="s">
        <v>3730</v>
      </c>
      <c r="I1547" s="25" t="s">
        <v>3731</v>
      </c>
      <c r="J1547" s="25" t="s">
        <v>3732</v>
      </c>
      <c r="K1547" s="25" t="s">
        <v>3733</v>
      </c>
      <c r="L1547" s="8"/>
      <c r="M1547" s="8"/>
      <c r="N1547" s="8"/>
    </row>
    <row r="1548" spans="1:14" ht="15.4" customHeight="1" thickBot="1" x14ac:dyDescent="0.25">
      <c r="A1548" s="8"/>
      <c r="B1548" s="8"/>
      <c r="C1548" s="8"/>
      <c r="D1548" s="26"/>
      <c r="E1548" s="27" t="s">
        <v>3734</v>
      </c>
      <c r="F1548" s="28"/>
      <c r="G1548" s="29"/>
      <c r="H1548" s="29"/>
      <c r="I1548" s="29"/>
      <c r="J1548" s="34" t="s">
        <v>3735</v>
      </c>
      <c r="K1548" s="35"/>
      <c r="L1548" s="8"/>
      <c r="M1548" s="8"/>
      <c r="N1548" s="8"/>
    </row>
    <row r="1549" spans="1:14" ht="15.4" customHeight="1" thickBot="1" x14ac:dyDescent="0.25">
      <c r="A1549" s="8"/>
      <c r="B1549" s="8"/>
      <c r="C1549" s="8"/>
      <c r="D1549" s="26"/>
      <c r="E1549" s="6" t="s">
        <v>3736</v>
      </c>
      <c r="F1549" s="4">
        <v>1</v>
      </c>
      <c r="G1549" s="22">
        <v>65</v>
      </c>
      <c r="H1549" s="22"/>
      <c r="I1549" s="22"/>
      <c r="J1549" s="30">
        <f>ROUND(F1549*G1549,2)</f>
        <v>65</v>
      </c>
      <c r="K1549" s="8"/>
      <c r="L1549" s="8"/>
      <c r="M1549" s="8"/>
      <c r="N1549" s="8"/>
    </row>
    <row r="1550" spans="1:14" ht="15.4" customHeight="1" thickBot="1" x14ac:dyDescent="0.25">
      <c r="A1550" s="8"/>
      <c r="B1550" s="8"/>
      <c r="C1550" s="8"/>
      <c r="D1550" s="26"/>
      <c r="E1550" s="6" t="s">
        <v>3737</v>
      </c>
      <c r="F1550" s="4">
        <v>1</v>
      </c>
      <c r="G1550" s="22">
        <v>95</v>
      </c>
      <c r="H1550" s="22"/>
      <c r="I1550" s="22"/>
      <c r="J1550" s="30">
        <f>ROUND(F1550*G1550,2)</f>
        <v>95</v>
      </c>
      <c r="K1550" s="32">
        <f>SUM(J1548:J1550)</f>
        <v>160</v>
      </c>
      <c r="L1550" s="8"/>
      <c r="M1550" s="8"/>
      <c r="N1550" s="8"/>
    </row>
    <row r="1551" spans="1:14" ht="15.4" customHeight="1" thickBot="1" x14ac:dyDescent="0.25">
      <c r="A1551" s="12" t="s">
        <v>3738</v>
      </c>
      <c r="B1551" s="6" t="s">
        <v>3739</v>
      </c>
      <c r="C1551" s="6" t="s">
        <v>3740</v>
      </c>
      <c r="D1551" s="60" t="s">
        <v>3741</v>
      </c>
      <c r="E1551" s="60"/>
      <c r="F1551" s="60"/>
      <c r="G1551" s="60"/>
      <c r="H1551" s="60"/>
      <c r="I1551" s="60"/>
      <c r="J1551" s="60"/>
      <c r="K1551" s="22">
        <f>SUM(K1554:K1561)</f>
        <v>12.819999999999999</v>
      </c>
      <c r="L1551" s="22">
        <f>ROUND(499.77*(1+M2/100),2)</f>
        <v>499.77</v>
      </c>
      <c r="M1551" s="22">
        <f>ROUND(K1551*L1551,2)</f>
        <v>6407.05</v>
      </c>
      <c r="N1551" s="8"/>
    </row>
    <row r="1552" spans="1:14" ht="40.35" customHeight="1" thickBot="1" x14ac:dyDescent="0.25">
      <c r="A1552" s="8"/>
      <c r="B1552" s="8"/>
      <c r="C1552" s="8"/>
      <c r="D1552" s="60" t="s">
        <v>3742</v>
      </c>
      <c r="E1552" s="60"/>
      <c r="F1552" s="60"/>
      <c r="G1552" s="60"/>
      <c r="H1552" s="60"/>
      <c r="I1552" s="60"/>
      <c r="J1552" s="60"/>
      <c r="K1552" s="60"/>
      <c r="L1552" s="60"/>
      <c r="M1552" s="60"/>
      <c r="N1552" s="8"/>
    </row>
    <row r="1553" spans="1:14" ht="15.4" customHeight="1" thickBot="1" x14ac:dyDescent="0.25">
      <c r="A1553" s="8"/>
      <c r="B1553" s="8"/>
      <c r="C1553" s="8"/>
      <c r="D1553" s="8"/>
      <c r="E1553" s="23"/>
      <c r="F1553" s="25" t="s">
        <v>3743</v>
      </c>
      <c r="G1553" s="25" t="s">
        <v>3744</v>
      </c>
      <c r="H1553" s="25" t="s">
        <v>3745</v>
      </c>
      <c r="I1553" s="25" t="s">
        <v>3746</v>
      </c>
      <c r="J1553" s="25" t="s">
        <v>3747</v>
      </c>
      <c r="K1553" s="25" t="s">
        <v>3748</v>
      </c>
      <c r="L1553" s="8"/>
      <c r="M1553" s="8"/>
      <c r="N1553" s="8"/>
    </row>
    <row r="1554" spans="1:14" ht="15.4" customHeight="1" thickBot="1" x14ac:dyDescent="0.25">
      <c r="A1554" s="8"/>
      <c r="B1554" s="8"/>
      <c r="C1554" s="8"/>
      <c r="D1554" s="26"/>
      <c r="E1554" s="27" t="s">
        <v>3749</v>
      </c>
      <c r="F1554" s="28">
        <v>2</v>
      </c>
      <c r="G1554" s="29">
        <v>1.75</v>
      </c>
      <c r="H1554" s="29">
        <v>0.6</v>
      </c>
      <c r="I1554" s="29"/>
      <c r="J1554" s="31">
        <f t="shared" ref="J1554:J1561" si="20">ROUND(F1554*G1554*H1554,2)</f>
        <v>2.1</v>
      </c>
      <c r="K1554" s="35"/>
      <c r="L1554" s="8"/>
      <c r="M1554" s="8"/>
      <c r="N1554" s="8"/>
    </row>
    <row r="1555" spans="1:14" ht="15.4" customHeight="1" thickBot="1" x14ac:dyDescent="0.25">
      <c r="A1555" s="8"/>
      <c r="B1555" s="8"/>
      <c r="C1555" s="8"/>
      <c r="D1555" s="26"/>
      <c r="E1555" s="6" t="s">
        <v>3750</v>
      </c>
      <c r="F1555" s="4">
        <v>1</v>
      </c>
      <c r="G1555" s="22">
        <v>2.2000000000000002</v>
      </c>
      <c r="H1555" s="22">
        <v>0.2</v>
      </c>
      <c r="I1555" s="22"/>
      <c r="J1555" s="30">
        <f t="shared" si="20"/>
        <v>0.44</v>
      </c>
      <c r="K1555" s="8"/>
      <c r="L1555" s="8"/>
      <c r="M1555" s="8"/>
      <c r="N1555" s="8"/>
    </row>
    <row r="1556" spans="1:14" ht="15.4" customHeight="1" thickBot="1" x14ac:dyDescent="0.25">
      <c r="A1556" s="8"/>
      <c r="B1556" s="8"/>
      <c r="C1556" s="8"/>
      <c r="D1556" s="26"/>
      <c r="E1556" s="6" t="s">
        <v>3751</v>
      </c>
      <c r="F1556" s="4">
        <v>1</v>
      </c>
      <c r="G1556" s="22">
        <v>2.9</v>
      </c>
      <c r="H1556" s="22">
        <v>0.2</v>
      </c>
      <c r="I1556" s="22"/>
      <c r="J1556" s="30">
        <f t="shared" si="20"/>
        <v>0.57999999999999996</v>
      </c>
      <c r="K1556" s="8"/>
      <c r="L1556" s="8"/>
      <c r="M1556" s="8"/>
      <c r="N1556" s="8"/>
    </row>
    <row r="1557" spans="1:14" ht="21.6" customHeight="1" thickBot="1" x14ac:dyDescent="0.25">
      <c r="A1557" s="8"/>
      <c r="B1557" s="8"/>
      <c r="C1557" s="8"/>
      <c r="D1557" s="26"/>
      <c r="E1557" s="6" t="s">
        <v>3752</v>
      </c>
      <c r="F1557" s="4">
        <v>1</v>
      </c>
      <c r="G1557" s="22">
        <v>2.8</v>
      </c>
      <c r="H1557" s="22">
        <v>0.2</v>
      </c>
      <c r="I1557" s="22"/>
      <c r="J1557" s="30">
        <f t="shared" si="20"/>
        <v>0.56000000000000005</v>
      </c>
      <c r="K1557" s="8"/>
      <c r="L1557" s="8"/>
      <c r="M1557" s="8"/>
      <c r="N1557" s="8"/>
    </row>
    <row r="1558" spans="1:14" ht="15.4" customHeight="1" thickBot="1" x14ac:dyDescent="0.25">
      <c r="A1558" s="8"/>
      <c r="B1558" s="8"/>
      <c r="C1558" s="8"/>
      <c r="D1558" s="26"/>
      <c r="E1558" s="6" t="s">
        <v>3753</v>
      </c>
      <c r="F1558" s="4">
        <v>1</v>
      </c>
      <c r="G1558" s="22">
        <v>2.2000000000000002</v>
      </c>
      <c r="H1558" s="22">
        <v>0.2</v>
      </c>
      <c r="I1558" s="22"/>
      <c r="J1558" s="30">
        <f t="shared" si="20"/>
        <v>0.44</v>
      </c>
      <c r="K1558" s="8"/>
      <c r="L1558" s="8"/>
      <c r="M1558" s="8"/>
      <c r="N1558" s="8"/>
    </row>
    <row r="1559" spans="1:14" ht="15.4" customHeight="1" thickBot="1" x14ac:dyDescent="0.25">
      <c r="A1559" s="8"/>
      <c r="B1559" s="8"/>
      <c r="C1559" s="8"/>
      <c r="D1559" s="26"/>
      <c r="E1559" s="6" t="s">
        <v>3754</v>
      </c>
      <c r="F1559" s="4">
        <v>1</v>
      </c>
      <c r="G1559" s="22">
        <v>2.9</v>
      </c>
      <c r="H1559" s="22">
        <v>1</v>
      </c>
      <c r="I1559" s="22"/>
      <c r="J1559" s="30">
        <f t="shared" si="20"/>
        <v>2.9</v>
      </c>
      <c r="K1559" s="8"/>
      <c r="L1559" s="8"/>
      <c r="M1559" s="8"/>
      <c r="N1559" s="8"/>
    </row>
    <row r="1560" spans="1:14" ht="15.4" customHeight="1" thickBot="1" x14ac:dyDescent="0.25">
      <c r="A1560" s="8"/>
      <c r="B1560" s="8"/>
      <c r="C1560" s="8"/>
      <c r="D1560" s="26"/>
      <c r="E1560" s="6" t="s">
        <v>3755</v>
      </c>
      <c r="F1560" s="4">
        <v>1</v>
      </c>
      <c r="G1560" s="22">
        <v>2.2000000000000002</v>
      </c>
      <c r="H1560" s="22">
        <v>1</v>
      </c>
      <c r="I1560" s="22"/>
      <c r="J1560" s="30">
        <f t="shared" si="20"/>
        <v>2.2000000000000002</v>
      </c>
      <c r="K1560" s="8"/>
      <c r="L1560" s="8"/>
      <c r="M1560" s="8"/>
      <c r="N1560" s="8"/>
    </row>
    <row r="1561" spans="1:14" ht="15.4" customHeight="1" thickBot="1" x14ac:dyDescent="0.25">
      <c r="A1561" s="8"/>
      <c r="B1561" s="8"/>
      <c r="C1561" s="8"/>
      <c r="D1561" s="26"/>
      <c r="E1561" s="6" t="s">
        <v>3756</v>
      </c>
      <c r="F1561" s="4">
        <v>2</v>
      </c>
      <c r="G1561" s="22">
        <v>2</v>
      </c>
      <c r="H1561" s="22">
        <v>0.9</v>
      </c>
      <c r="I1561" s="22"/>
      <c r="J1561" s="30">
        <f t="shared" si="20"/>
        <v>3.6</v>
      </c>
      <c r="K1561" s="32">
        <f>SUM(J1554:J1561)</f>
        <v>12.819999999999999</v>
      </c>
      <c r="L1561" s="8"/>
      <c r="M1561" s="8"/>
      <c r="N1561" s="8"/>
    </row>
    <row r="1562" spans="1:14" ht="24.75" customHeight="1" thickBot="1" x14ac:dyDescent="0.25">
      <c r="A1562" s="12" t="s">
        <v>3757</v>
      </c>
      <c r="B1562" s="6" t="s">
        <v>3758</v>
      </c>
      <c r="C1562" s="6" t="s">
        <v>3759</v>
      </c>
      <c r="D1562" s="60" t="s">
        <v>3760</v>
      </c>
      <c r="E1562" s="60"/>
      <c r="F1562" s="60"/>
      <c r="G1562" s="60"/>
      <c r="H1562" s="60"/>
      <c r="I1562" s="60"/>
      <c r="J1562" s="60"/>
      <c r="K1562" s="22">
        <f>SUM(K1565:K1565)</f>
        <v>16</v>
      </c>
      <c r="L1562" s="22">
        <f>ROUND(73.79*(1+M2/100),2)</f>
        <v>73.790000000000006</v>
      </c>
      <c r="M1562" s="22">
        <f>ROUND(K1562*L1562,2)</f>
        <v>1180.6400000000001</v>
      </c>
      <c r="N1562" s="8"/>
    </row>
    <row r="1563" spans="1:14" ht="40.35" customHeight="1" thickBot="1" x14ac:dyDescent="0.25">
      <c r="A1563" s="8"/>
      <c r="B1563" s="8"/>
      <c r="C1563" s="8"/>
      <c r="D1563" s="60" t="s">
        <v>3761</v>
      </c>
      <c r="E1563" s="60"/>
      <c r="F1563" s="60"/>
      <c r="G1563" s="60"/>
      <c r="H1563" s="60"/>
      <c r="I1563" s="60"/>
      <c r="J1563" s="60"/>
      <c r="K1563" s="60"/>
      <c r="L1563" s="60"/>
      <c r="M1563" s="60"/>
      <c r="N1563" s="8"/>
    </row>
    <row r="1564" spans="1:14" ht="15.4" customHeight="1" thickBot="1" x14ac:dyDescent="0.25">
      <c r="A1564" s="8"/>
      <c r="B1564" s="8"/>
      <c r="C1564" s="8"/>
      <c r="D1564" s="8"/>
      <c r="E1564" s="23"/>
      <c r="F1564" s="25" t="s">
        <v>3762</v>
      </c>
      <c r="G1564" s="25" t="s">
        <v>3763</v>
      </c>
      <c r="H1564" s="25" t="s">
        <v>3764</v>
      </c>
      <c r="I1564" s="25" t="s">
        <v>3765</v>
      </c>
      <c r="J1564" s="25" t="s">
        <v>3766</v>
      </c>
      <c r="K1564" s="25" t="s">
        <v>3767</v>
      </c>
      <c r="L1564" s="8"/>
      <c r="M1564" s="8"/>
      <c r="N1564" s="8"/>
    </row>
    <row r="1565" spans="1:14" ht="15.4" customHeight="1" thickBot="1" x14ac:dyDescent="0.25">
      <c r="A1565" s="8"/>
      <c r="B1565" s="8"/>
      <c r="C1565" s="8"/>
      <c r="D1565" s="26"/>
      <c r="E1565" s="27" t="s">
        <v>3768</v>
      </c>
      <c r="F1565" s="28">
        <v>16</v>
      </c>
      <c r="G1565" s="29"/>
      <c r="H1565" s="29"/>
      <c r="I1565" s="29"/>
      <c r="J1565" s="31">
        <f>ROUND(F1565,2)</f>
        <v>16</v>
      </c>
      <c r="K1565" s="33">
        <f>SUM(J1565:J1565)</f>
        <v>16</v>
      </c>
      <c r="L1565" s="8"/>
      <c r="M1565" s="8"/>
      <c r="N1565" s="8"/>
    </row>
    <row r="1566" spans="1:14" ht="24.75" customHeight="1" thickBot="1" x14ac:dyDescent="0.25">
      <c r="A1566" s="12" t="s">
        <v>3769</v>
      </c>
      <c r="B1566" s="6" t="s">
        <v>3770</v>
      </c>
      <c r="C1566" s="6" t="s">
        <v>3771</v>
      </c>
      <c r="D1566" s="60" t="s">
        <v>3772</v>
      </c>
      <c r="E1566" s="60"/>
      <c r="F1566" s="60"/>
      <c r="G1566" s="60"/>
      <c r="H1566" s="60"/>
      <c r="I1566" s="60"/>
      <c r="J1566" s="60"/>
      <c r="K1566" s="22">
        <f>SUM(K1569:K1569)</f>
        <v>20</v>
      </c>
      <c r="L1566" s="22">
        <f>ROUND(74.99*(1+M2/100),2)</f>
        <v>74.989999999999995</v>
      </c>
      <c r="M1566" s="22">
        <f>ROUND(K1566*L1566,2)</f>
        <v>1499.8</v>
      </c>
      <c r="N1566" s="8"/>
    </row>
    <row r="1567" spans="1:14" ht="40.35" customHeight="1" thickBot="1" x14ac:dyDescent="0.25">
      <c r="A1567" s="8"/>
      <c r="B1567" s="8"/>
      <c r="C1567" s="8"/>
      <c r="D1567" s="60" t="s">
        <v>3773</v>
      </c>
      <c r="E1567" s="60"/>
      <c r="F1567" s="60"/>
      <c r="G1567" s="60"/>
      <c r="H1567" s="60"/>
      <c r="I1567" s="60"/>
      <c r="J1567" s="60"/>
      <c r="K1567" s="60"/>
      <c r="L1567" s="60"/>
      <c r="M1567" s="60"/>
      <c r="N1567" s="8"/>
    </row>
    <row r="1568" spans="1:14" ht="15.4" customHeight="1" thickBot="1" x14ac:dyDescent="0.25">
      <c r="A1568" s="8"/>
      <c r="B1568" s="8"/>
      <c r="C1568" s="8"/>
      <c r="D1568" s="8"/>
      <c r="E1568" s="23"/>
      <c r="F1568" s="25" t="s">
        <v>3774</v>
      </c>
      <c r="G1568" s="25" t="s">
        <v>3775</v>
      </c>
      <c r="H1568" s="25" t="s">
        <v>3776</v>
      </c>
      <c r="I1568" s="25" t="s">
        <v>3777</v>
      </c>
      <c r="J1568" s="25" t="s">
        <v>3778</v>
      </c>
      <c r="K1568" s="25" t="s">
        <v>3779</v>
      </c>
      <c r="L1568" s="8"/>
      <c r="M1568" s="8"/>
      <c r="N1568" s="8"/>
    </row>
    <row r="1569" spans="1:14" ht="15.4" customHeight="1" thickBot="1" x14ac:dyDescent="0.25">
      <c r="A1569" s="8"/>
      <c r="B1569" s="8"/>
      <c r="C1569" s="8"/>
      <c r="D1569" s="26"/>
      <c r="E1569" s="27" t="s">
        <v>3780</v>
      </c>
      <c r="F1569" s="28">
        <v>20</v>
      </c>
      <c r="G1569" s="29"/>
      <c r="H1569" s="29"/>
      <c r="I1569" s="29"/>
      <c r="J1569" s="31">
        <f>ROUND(F1569,2)</f>
        <v>20</v>
      </c>
      <c r="K1569" s="33">
        <f>SUM(J1569:J1569)</f>
        <v>20</v>
      </c>
      <c r="L1569" s="8"/>
      <c r="M1569" s="8"/>
      <c r="N1569" s="8"/>
    </row>
    <row r="1570" spans="1:14" ht="24.75" customHeight="1" thickBot="1" x14ac:dyDescent="0.25">
      <c r="A1570" s="12" t="s">
        <v>3781</v>
      </c>
      <c r="B1570" s="6" t="s">
        <v>3782</v>
      </c>
      <c r="C1570" s="6" t="s">
        <v>3783</v>
      </c>
      <c r="D1570" s="60" t="s">
        <v>3784</v>
      </c>
      <c r="E1570" s="60"/>
      <c r="F1570" s="60"/>
      <c r="G1570" s="60"/>
      <c r="H1570" s="60"/>
      <c r="I1570" s="60"/>
      <c r="J1570" s="60"/>
      <c r="K1570" s="22">
        <f>SUM(K1573:K1573)</f>
        <v>2</v>
      </c>
      <c r="L1570" s="22">
        <f>ROUND(67.87*(1+M2/100),2)</f>
        <v>67.87</v>
      </c>
      <c r="M1570" s="22">
        <f>ROUND(K1570*L1570,2)</f>
        <v>135.74</v>
      </c>
      <c r="N1570" s="8"/>
    </row>
    <row r="1571" spans="1:14" ht="40.35" customHeight="1" thickBot="1" x14ac:dyDescent="0.25">
      <c r="A1571" s="8"/>
      <c r="B1571" s="8"/>
      <c r="C1571" s="8"/>
      <c r="D1571" s="60" t="s">
        <v>3785</v>
      </c>
      <c r="E1571" s="60"/>
      <c r="F1571" s="60"/>
      <c r="G1571" s="60"/>
      <c r="H1571" s="60"/>
      <c r="I1571" s="60"/>
      <c r="J1571" s="60"/>
      <c r="K1571" s="60"/>
      <c r="L1571" s="60"/>
      <c r="M1571" s="60"/>
      <c r="N1571" s="8"/>
    </row>
    <row r="1572" spans="1:14" ht="15.4" customHeight="1" thickBot="1" x14ac:dyDescent="0.25">
      <c r="A1572" s="8"/>
      <c r="B1572" s="8"/>
      <c r="C1572" s="8"/>
      <c r="D1572" s="8"/>
      <c r="E1572" s="23"/>
      <c r="F1572" s="25" t="s">
        <v>3786</v>
      </c>
      <c r="G1572" s="25" t="s">
        <v>3787</v>
      </c>
      <c r="H1572" s="25" t="s">
        <v>3788</v>
      </c>
      <c r="I1572" s="25" t="s">
        <v>3789</v>
      </c>
      <c r="J1572" s="25" t="s">
        <v>3790</v>
      </c>
      <c r="K1572" s="25" t="s">
        <v>3791</v>
      </c>
      <c r="L1572" s="8"/>
      <c r="M1572" s="8"/>
      <c r="N1572" s="8"/>
    </row>
    <row r="1573" spans="1:14" ht="15.4" customHeight="1" thickBot="1" x14ac:dyDescent="0.25">
      <c r="A1573" s="8"/>
      <c r="B1573" s="8"/>
      <c r="C1573" s="8"/>
      <c r="D1573" s="26"/>
      <c r="E1573" s="27" t="s">
        <v>3792</v>
      </c>
      <c r="F1573" s="28">
        <v>2</v>
      </c>
      <c r="G1573" s="29"/>
      <c r="H1573" s="29"/>
      <c r="I1573" s="29"/>
      <c r="J1573" s="31">
        <f>ROUND(F1573,2)</f>
        <v>2</v>
      </c>
      <c r="K1573" s="33">
        <f>SUM(J1573:J1573)</f>
        <v>2</v>
      </c>
      <c r="L1573" s="8"/>
      <c r="M1573" s="8"/>
      <c r="N1573" s="8"/>
    </row>
    <row r="1574" spans="1:14" ht="24.75" customHeight="1" thickBot="1" x14ac:dyDescent="0.25">
      <c r="A1574" s="12" t="s">
        <v>3793</v>
      </c>
      <c r="B1574" s="6" t="s">
        <v>3794</v>
      </c>
      <c r="C1574" s="6" t="s">
        <v>3795</v>
      </c>
      <c r="D1574" s="60" t="s">
        <v>3796</v>
      </c>
      <c r="E1574" s="60"/>
      <c r="F1574" s="60"/>
      <c r="G1574" s="60"/>
      <c r="H1574" s="60"/>
      <c r="I1574" s="60"/>
      <c r="J1574" s="60"/>
      <c r="K1574" s="22">
        <f>SUM(K1577:K1577)</f>
        <v>6</v>
      </c>
      <c r="L1574" s="22">
        <f>ROUND(78.54*(1+M2/100),2)</f>
        <v>78.540000000000006</v>
      </c>
      <c r="M1574" s="22">
        <f>ROUND(K1574*L1574,2)</f>
        <v>471.24</v>
      </c>
      <c r="N1574" s="8"/>
    </row>
    <row r="1575" spans="1:14" ht="40.35" customHeight="1" thickBot="1" x14ac:dyDescent="0.25">
      <c r="A1575" s="8"/>
      <c r="B1575" s="8"/>
      <c r="C1575" s="8"/>
      <c r="D1575" s="60" t="s">
        <v>3797</v>
      </c>
      <c r="E1575" s="60"/>
      <c r="F1575" s="60"/>
      <c r="G1575" s="60"/>
      <c r="H1575" s="60"/>
      <c r="I1575" s="60"/>
      <c r="J1575" s="60"/>
      <c r="K1575" s="60"/>
      <c r="L1575" s="60"/>
      <c r="M1575" s="60"/>
      <c r="N1575" s="8"/>
    </row>
    <row r="1576" spans="1:14" ht="15.4" customHeight="1" thickBot="1" x14ac:dyDescent="0.25">
      <c r="A1576" s="8"/>
      <c r="B1576" s="8"/>
      <c r="C1576" s="8"/>
      <c r="D1576" s="8"/>
      <c r="E1576" s="23"/>
      <c r="F1576" s="25" t="s">
        <v>3798</v>
      </c>
      <c r="G1576" s="25" t="s">
        <v>3799</v>
      </c>
      <c r="H1576" s="25" t="s">
        <v>3800</v>
      </c>
      <c r="I1576" s="25" t="s">
        <v>3801</v>
      </c>
      <c r="J1576" s="25" t="s">
        <v>3802</v>
      </c>
      <c r="K1576" s="25" t="s">
        <v>3803</v>
      </c>
      <c r="L1576" s="8"/>
      <c r="M1576" s="8"/>
      <c r="N1576" s="8"/>
    </row>
    <row r="1577" spans="1:14" ht="15.4" customHeight="1" thickBot="1" x14ac:dyDescent="0.25">
      <c r="A1577" s="8"/>
      <c r="B1577" s="8"/>
      <c r="C1577" s="8"/>
      <c r="D1577" s="26"/>
      <c r="E1577" s="27" t="s">
        <v>3804</v>
      </c>
      <c r="F1577" s="28">
        <v>6</v>
      </c>
      <c r="G1577" s="29"/>
      <c r="H1577" s="29"/>
      <c r="I1577" s="29"/>
      <c r="J1577" s="31">
        <f>ROUND(F1577,2)</f>
        <v>6</v>
      </c>
      <c r="K1577" s="33">
        <f>SUM(J1577:J1577)</f>
        <v>6</v>
      </c>
      <c r="L1577" s="8"/>
      <c r="M1577" s="8"/>
      <c r="N1577" s="8"/>
    </row>
    <row r="1578" spans="1:14" ht="15.4" customHeight="1" thickBot="1" x14ac:dyDescent="0.25">
      <c r="A1578" s="36"/>
      <c r="B1578" s="36"/>
      <c r="C1578" s="36"/>
      <c r="D1578" s="37" t="s">
        <v>3805</v>
      </c>
      <c r="E1578" s="38"/>
      <c r="F1578" s="38"/>
      <c r="G1578" s="38"/>
      <c r="H1578" s="38"/>
      <c r="I1578" s="38"/>
      <c r="J1578" s="38"/>
      <c r="K1578" s="38"/>
      <c r="L1578" s="39">
        <f>M1531+M1535+M1545+M1551+M1562+M1566+M1570+M1574</f>
        <v>33938.729999999996</v>
      </c>
      <c r="M1578" s="39">
        <f>ROUND(L1578,2)</f>
        <v>33938.730000000003</v>
      </c>
      <c r="N1578" s="8"/>
    </row>
    <row r="1579" spans="1:14" ht="15.4" customHeight="1" thickBot="1" x14ac:dyDescent="0.25">
      <c r="A1579" s="43"/>
      <c r="B1579" s="43"/>
      <c r="C1579" s="43"/>
      <c r="D1579" s="44" t="s">
        <v>3806</v>
      </c>
      <c r="E1579" s="45"/>
      <c r="F1579" s="45"/>
      <c r="G1579" s="45"/>
      <c r="H1579" s="45"/>
      <c r="I1579" s="45"/>
      <c r="J1579" s="45"/>
      <c r="K1579" s="45"/>
      <c r="L1579" s="46">
        <f>M1471+M1529+M1578</f>
        <v>134147.72</v>
      </c>
      <c r="M1579" s="46">
        <f>ROUND(L1579,2)</f>
        <v>134147.72</v>
      </c>
      <c r="N1579" s="8"/>
    </row>
    <row r="1580" spans="1:14" ht="15.4" customHeight="1" thickBot="1" x14ac:dyDescent="0.25">
      <c r="A1580" s="47" t="s">
        <v>3807</v>
      </c>
      <c r="B1580" s="47" t="s">
        <v>3808</v>
      </c>
      <c r="C1580" s="48"/>
      <c r="D1580" s="62" t="s">
        <v>3809</v>
      </c>
      <c r="E1580" s="62"/>
      <c r="F1580" s="62"/>
      <c r="G1580" s="62"/>
      <c r="H1580" s="62"/>
      <c r="I1580" s="62"/>
      <c r="J1580" s="62"/>
      <c r="K1580" s="48"/>
      <c r="L1580" s="49">
        <f>L1670</f>
        <v>42261.030000000006</v>
      </c>
      <c r="M1580" s="49">
        <f>ROUND(L1580,2)</f>
        <v>42261.03</v>
      </c>
      <c r="N1580" s="8"/>
    </row>
    <row r="1581" spans="1:14" ht="15.4" customHeight="1" thickBot="1" x14ac:dyDescent="0.25">
      <c r="A1581" s="12" t="s">
        <v>3810</v>
      </c>
      <c r="B1581" s="6" t="s">
        <v>3811</v>
      </c>
      <c r="C1581" s="6" t="s">
        <v>3812</v>
      </c>
      <c r="D1581" s="60" t="s">
        <v>3813</v>
      </c>
      <c r="E1581" s="60"/>
      <c r="F1581" s="60"/>
      <c r="G1581" s="60"/>
      <c r="H1581" s="60"/>
      <c r="I1581" s="60"/>
      <c r="J1581" s="60"/>
      <c r="K1581" s="22">
        <f>SUM(K1584:K1584)</f>
        <v>1</v>
      </c>
      <c r="L1581" s="22">
        <f>ROUND(712.64*(1+M2/100),2)</f>
        <v>712.64</v>
      </c>
      <c r="M1581" s="22">
        <f>ROUND(K1581*L1581,2)</f>
        <v>712.64</v>
      </c>
      <c r="N1581" s="8"/>
    </row>
    <row r="1582" spans="1:14" ht="30.95" customHeight="1" thickBot="1" x14ac:dyDescent="0.25">
      <c r="A1582" s="8"/>
      <c r="B1582" s="8"/>
      <c r="C1582" s="8"/>
      <c r="D1582" s="60" t="s">
        <v>3814</v>
      </c>
      <c r="E1582" s="60"/>
      <c r="F1582" s="60"/>
      <c r="G1582" s="60"/>
      <c r="H1582" s="60"/>
      <c r="I1582" s="60"/>
      <c r="J1582" s="60"/>
      <c r="K1582" s="60"/>
      <c r="L1582" s="60"/>
      <c r="M1582" s="60"/>
      <c r="N1582" s="8"/>
    </row>
    <row r="1583" spans="1:14" ht="15.4" customHeight="1" thickBot="1" x14ac:dyDescent="0.25">
      <c r="A1583" s="8"/>
      <c r="B1583" s="8"/>
      <c r="C1583" s="8"/>
      <c r="D1583" s="8"/>
      <c r="E1583" s="23"/>
      <c r="F1583" s="25" t="s">
        <v>3815</v>
      </c>
      <c r="G1583" s="25" t="s">
        <v>3816</v>
      </c>
      <c r="H1583" s="25" t="s">
        <v>3817</v>
      </c>
      <c r="I1583" s="25" t="s">
        <v>3818</v>
      </c>
      <c r="J1583" s="25" t="s">
        <v>3819</v>
      </c>
      <c r="K1583" s="25" t="s">
        <v>3820</v>
      </c>
      <c r="L1583" s="8"/>
      <c r="M1583" s="8"/>
      <c r="N1583" s="8"/>
    </row>
    <row r="1584" spans="1:14" ht="15.4" customHeight="1" thickBot="1" x14ac:dyDescent="0.25">
      <c r="A1584" s="8"/>
      <c r="B1584" s="8"/>
      <c r="C1584" s="8"/>
      <c r="D1584" s="26"/>
      <c r="E1584" s="27"/>
      <c r="F1584" s="28">
        <v>1</v>
      </c>
      <c r="G1584" s="29"/>
      <c r="H1584" s="29"/>
      <c r="I1584" s="29"/>
      <c r="J1584" s="31">
        <f>ROUND(F1584,2)</f>
        <v>1</v>
      </c>
      <c r="K1584" s="33">
        <f>SUM(J1584:J1584)</f>
        <v>1</v>
      </c>
      <c r="L1584" s="8"/>
      <c r="M1584" s="8"/>
      <c r="N1584" s="8"/>
    </row>
    <row r="1585" spans="1:14" ht="15.4" customHeight="1" thickBot="1" x14ac:dyDescent="0.25">
      <c r="A1585" s="12" t="s">
        <v>3821</v>
      </c>
      <c r="B1585" s="6" t="s">
        <v>3822</v>
      </c>
      <c r="C1585" s="6" t="s">
        <v>3823</v>
      </c>
      <c r="D1585" s="60" t="s">
        <v>3824</v>
      </c>
      <c r="E1585" s="60"/>
      <c r="F1585" s="60"/>
      <c r="G1585" s="60"/>
      <c r="H1585" s="60"/>
      <c r="I1585" s="60"/>
      <c r="J1585" s="60"/>
      <c r="K1585" s="22">
        <f>SUM(K1588:K1588)</f>
        <v>1</v>
      </c>
      <c r="L1585" s="22">
        <f>ROUND(714.08*(1+M2/100),2)</f>
        <v>714.08</v>
      </c>
      <c r="M1585" s="22">
        <f>ROUND(K1585*L1585,2)</f>
        <v>714.08</v>
      </c>
      <c r="N1585" s="8"/>
    </row>
    <row r="1586" spans="1:14" ht="40.35" customHeight="1" thickBot="1" x14ac:dyDescent="0.25">
      <c r="A1586" s="8"/>
      <c r="B1586" s="8"/>
      <c r="C1586" s="8"/>
      <c r="D1586" s="60" t="s">
        <v>3825</v>
      </c>
      <c r="E1586" s="60"/>
      <c r="F1586" s="60"/>
      <c r="G1586" s="60"/>
      <c r="H1586" s="60"/>
      <c r="I1586" s="60"/>
      <c r="J1586" s="60"/>
      <c r="K1586" s="60"/>
      <c r="L1586" s="60"/>
      <c r="M1586" s="60"/>
      <c r="N1586" s="8"/>
    </row>
    <row r="1587" spans="1:14" ht="15.4" customHeight="1" thickBot="1" x14ac:dyDescent="0.25">
      <c r="A1587" s="8"/>
      <c r="B1587" s="8"/>
      <c r="C1587" s="8"/>
      <c r="D1587" s="8"/>
      <c r="E1587" s="23"/>
      <c r="F1587" s="25" t="s">
        <v>3826</v>
      </c>
      <c r="G1587" s="25" t="s">
        <v>3827</v>
      </c>
      <c r="H1587" s="25" t="s">
        <v>3828</v>
      </c>
      <c r="I1587" s="25" t="s">
        <v>3829</v>
      </c>
      <c r="J1587" s="25" t="s">
        <v>3830</v>
      </c>
      <c r="K1587" s="25" t="s">
        <v>3831</v>
      </c>
      <c r="L1587" s="8"/>
      <c r="M1587" s="8"/>
      <c r="N1587" s="8"/>
    </row>
    <row r="1588" spans="1:14" ht="15.4" customHeight="1" thickBot="1" x14ac:dyDescent="0.25">
      <c r="A1588" s="8"/>
      <c r="B1588" s="8"/>
      <c r="C1588" s="8"/>
      <c r="D1588" s="26"/>
      <c r="E1588" s="27"/>
      <c r="F1588" s="28">
        <v>1</v>
      </c>
      <c r="G1588" s="29"/>
      <c r="H1588" s="29"/>
      <c r="I1588" s="29"/>
      <c r="J1588" s="31">
        <f>ROUND(F1588,2)</f>
        <v>1</v>
      </c>
      <c r="K1588" s="33">
        <f>SUM(J1588:J1588)</f>
        <v>1</v>
      </c>
      <c r="L1588" s="8"/>
      <c r="M1588" s="8"/>
      <c r="N1588" s="8"/>
    </row>
    <row r="1589" spans="1:14" ht="15.4" customHeight="1" thickBot="1" x14ac:dyDescent="0.25">
      <c r="A1589" s="12" t="s">
        <v>3832</v>
      </c>
      <c r="B1589" s="6" t="s">
        <v>3833</v>
      </c>
      <c r="C1589" s="6" t="s">
        <v>3834</v>
      </c>
      <c r="D1589" s="60" t="s">
        <v>3835</v>
      </c>
      <c r="E1589" s="60"/>
      <c r="F1589" s="60"/>
      <c r="G1589" s="60"/>
      <c r="H1589" s="60"/>
      <c r="I1589" s="60"/>
      <c r="J1589" s="60"/>
      <c r="K1589" s="22">
        <f>SUM(K1592:K1592)</f>
        <v>1</v>
      </c>
      <c r="L1589" s="22">
        <f>ROUND(499.9*(1+M2/100),2)</f>
        <v>499.9</v>
      </c>
      <c r="M1589" s="22">
        <f>ROUND(K1589*L1589,2)</f>
        <v>499.9</v>
      </c>
      <c r="N1589" s="8"/>
    </row>
    <row r="1590" spans="1:14" ht="30.95" customHeight="1" thickBot="1" x14ac:dyDescent="0.25">
      <c r="A1590" s="8"/>
      <c r="B1590" s="8"/>
      <c r="C1590" s="8"/>
      <c r="D1590" s="60" t="s">
        <v>3836</v>
      </c>
      <c r="E1590" s="60"/>
      <c r="F1590" s="60"/>
      <c r="G1590" s="60"/>
      <c r="H1590" s="60"/>
      <c r="I1590" s="60"/>
      <c r="J1590" s="60"/>
      <c r="K1590" s="60"/>
      <c r="L1590" s="60"/>
      <c r="M1590" s="60"/>
      <c r="N1590" s="8"/>
    </row>
    <row r="1591" spans="1:14" ht="15.4" customHeight="1" thickBot="1" x14ac:dyDescent="0.25">
      <c r="A1591" s="8"/>
      <c r="B1591" s="8"/>
      <c r="C1591" s="8"/>
      <c r="D1591" s="8"/>
      <c r="E1591" s="23"/>
      <c r="F1591" s="25" t="s">
        <v>3837</v>
      </c>
      <c r="G1591" s="25" t="s">
        <v>3838</v>
      </c>
      <c r="H1591" s="25" t="s">
        <v>3839</v>
      </c>
      <c r="I1591" s="25" t="s">
        <v>3840</v>
      </c>
      <c r="J1591" s="25" t="s">
        <v>3841</v>
      </c>
      <c r="K1591" s="25" t="s">
        <v>3842</v>
      </c>
      <c r="L1591" s="8"/>
      <c r="M1591" s="8"/>
      <c r="N1591" s="8"/>
    </row>
    <row r="1592" spans="1:14" ht="15.4" customHeight="1" thickBot="1" x14ac:dyDescent="0.25">
      <c r="A1592" s="8"/>
      <c r="B1592" s="8"/>
      <c r="C1592" s="8"/>
      <c r="D1592" s="26"/>
      <c r="E1592" s="27"/>
      <c r="F1592" s="28">
        <v>1</v>
      </c>
      <c r="G1592" s="29"/>
      <c r="H1592" s="29"/>
      <c r="I1592" s="29"/>
      <c r="J1592" s="31">
        <f>ROUND(F1592,2)</f>
        <v>1</v>
      </c>
      <c r="K1592" s="33">
        <f>SUM(J1592:J1592)</f>
        <v>1</v>
      </c>
      <c r="L1592" s="8"/>
      <c r="M1592" s="8"/>
      <c r="N1592" s="8"/>
    </row>
    <row r="1593" spans="1:14" ht="15.4" customHeight="1" thickBot="1" x14ac:dyDescent="0.25">
      <c r="A1593" s="12" t="s">
        <v>3843</v>
      </c>
      <c r="B1593" s="6" t="s">
        <v>3844</v>
      </c>
      <c r="C1593" s="6" t="s">
        <v>3845</v>
      </c>
      <c r="D1593" s="60" t="s">
        <v>3846</v>
      </c>
      <c r="E1593" s="60"/>
      <c r="F1593" s="60"/>
      <c r="G1593" s="60"/>
      <c r="H1593" s="60"/>
      <c r="I1593" s="60"/>
      <c r="J1593" s="60"/>
      <c r="K1593" s="22">
        <f>SUM(K1596:K1596)</f>
        <v>37</v>
      </c>
      <c r="L1593" s="22">
        <f>ROUND(63.07*(1+M2/100),2)</f>
        <v>63.07</v>
      </c>
      <c r="M1593" s="22">
        <f>ROUND(K1593*L1593,2)</f>
        <v>2333.59</v>
      </c>
      <c r="N1593" s="8"/>
    </row>
    <row r="1594" spans="1:14" ht="30.95" customHeight="1" thickBot="1" x14ac:dyDescent="0.25">
      <c r="A1594" s="8"/>
      <c r="B1594" s="8"/>
      <c r="C1594" s="8"/>
      <c r="D1594" s="60" t="s">
        <v>3847</v>
      </c>
      <c r="E1594" s="60"/>
      <c r="F1594" s="60"/>
      <c r="G1594" s="60"/>
      <c r="H1594" s="60"/>
      <c r="I1594" s="60"/>
      <c r="J1594" s="60"/>
      <c r="K1594" s="60"/>
      <c r="L1594" s="60"/>
      <c r="M1594" s="60"/>
      <c r="N1594" s="8"/>
    </row>
    <row r="1595" spans="1:14" ht="15.4" customHeight="1" thickBot="1" x14ac:dyDescent="0.25">
      <c r="A1595" s="8"/>
      <c r="B1595" s="8"/>
      <c r="C1595" s="8"/>
      <c r="D1595" s="8"/>
      <c r="E1595" s="23"/>
      <c r="F1595" s="25" t="s">
        <v>3848</v>
      </c>
      <c r="G1595" s="25" t="s">
        <v>3849</v>
      </c>
      <c r="H1595" s="25" t="s">
        <v>3850</v>
      </c>
      <c r="I1595" s="25" t="s">
        <v>3851</v>
      </c>
      <c r="J1595" s="25" t="s">
        <v>3852</v>
      </c>
      <c r="K1595" s="25" t="s">
        <v>3853</v>
      </c>
      <c r="L1595" s="8"/>
      <c r="M1595" s="8"/>
      <c r="N1595" s="8"/>
    </row>
    <row r="1596" spans="1:14" ht="15.4" customHeight="1" thickBot="1" x14ac:dyDescent="0.25">
      <c r="A1596" s="8"/>
      <c r="B1596" s="8"/>
      <c r="C1596" s="8"/>
      <c r="D1596" s="26"/>
      <c r="E1596" s="27"/>
      <c r="F1596" s="28">
        <v>37</v>
      </c>
      <c r="G1596" s="29"/>
      <c r="H1596" s="29"/>
      <c r="I1596" s="29"/>
      <c r="J1596" s="31">
        <f>ROUND(F1596,2)</f>
        <v>37</v>
      </c>
      <c r="K1596" s="33">
        <f>SUM(J1596:J1596)</f>
        <v>37</v>
      </c>
      <c r="L1596" s="8"/>
      <c r="M1596" s="8"/>
      <c r="N1596" s="8"/>
    </row>
    <row r="1597" spans="1:14" ht="15.4" customHeight="1" thickBot="1" x14ac:dyDescent="0.25">
      <c r="A1597" s="12" t="s">
        <v>3854</v>
      </c>
      <c r="B1597" s="6" t="s">
        <v>3855</v>
      </c>
      <c r="C1597" s="6" t="s">
        <v>3856</v>
      </c>
      <c r="D1597" s="60" t="s">
        <v>3857</v>
      </c>
      <c r="E1597" s="60"/>
      <c r="F1597" s="60"/>
      <c r="G1597" s="60"/>
      <c r="H1597" s="60"/>
      <c r="I1597" s="60"/>
      <c r="J1597" s="60"/>
      <c r="K1597" s="22">
        <f>SUM(K1600:K1600)</f>
        <v>4</v>
      </c>
      <c r="L1597" s="22">
        <f>ROUND(59.5*(1+M2/100),2)</f>
        <v>59.5</v>
      </c>
      <c r="M1597" s="22">
        <f>ROUND(K1597*L1597,2)</f>
        <v>238</v>
      </c>
      <c r="N1597" s="8"/>
    </row>
    <row r="1598" spans="1:14" ht="21.6" customHeight="1" thickBot="1" x14ac:dyDescent="0.25">
      <c r="A1598" s="8"/>
      <c r="B1598" s="8"/>
      <c r="C1598" s="8"/>
      <c r="D1598" s="60" t="s">
        <v>3858</v>
      </c>
      <c r="E1598" s="60"/>
      <c r="F1598" s="60"/>
      <c r="G1598" s="60"/>
      <c r="H1598" s="60"/>
      <c r="I1598" s="60"/>
      <c r="J1598" s="60"/>
      <c r="K1598" s="60"/>
      <c r="L1598" s="60"/>
      <c r="M1598" s="60"/>
      <c r="N1598" s="8"/>
    </row>
    <row r="1599" spans="1:14" ht="15.4" customHeight="1" thickBot="1" x14ac:dyDescent="0.25">
      <c r="A1599" s="8"/>
      <c r="B1599" s="8"/>
      <c r="C1599" s="8"/>
      <c r="D1599" s="8"/>
      <c r="E1599" s="23"/>
      <c r="F1599" s="25" t="s">
        <v>3859</v>
      </c>
      <c r="G1599" s="25" t="s">
        <v>3860</v>
      </c>
      <c r="H1599" s="25" t="s">
        <v>3861</v>
      </c>
      <c r="I1599" s="25" t="s">
        <v>3862</v>
      </c>
      <c r="J1599" s="25" t="s">
        <v>3863</v>
      </c>
      <c r="K1599" s="25" t="s">
        <v>3864</v>
      </c>
      <c r="L1599" s="8"/>
      <c r="M1599" s="8"/>
      <c r="N1599" s="8"/>
    </row>
    <row r="1600" spans="1:14" ht="15.4" customHeight="1" thickBot="1" x14ac:dyDescent="0.25">
      <c r="A1600" s="8"/>
      <c r="B1600" s="8"/>
      <c r="C1600" s="8"/>
      <c r="D1600" s="26"/>
      <c r="E1600" s="27" t="s">
        <v>3865</v>
      </c>
      <c r="F1600" s="28">
        <v>4</v>
      </c>
      <c r="G1600" s="29"/>
      <c r="H1600" s="29"/>
      <c r="I1600" s="29"/>
      <c r="J1600" s="31">
        <f>ROUND(F1600,2)</f>
        <v>4</v>
      </c>
      <c r="K1600" s="33">
        <f>SUM(J1600:J1600)</f>
        <v>4</v>
      </c>
      <c r="L1600" s="8"/>
      <c r="M1600" s="8"/>
      <c r="N1600" s="8"/>
    </row>
    <row r="1601" spans="1:14" ht="15.4" customHeight="1" thickBot="1" x14ac:dyDescent="0.25">
      <c r="A1601" s="12" t="s">
        <v>3866</v>
      </c>
      <c r="B1601" s="6" t="s">
        <v>3867</v>
      </c>
      <c r="C1601" s="6" t="s">
        <v>3868</v>
      </c>
      <c r="D1601" s="60" t="s">
        <v>3869</v>
      </c>
      <c r="E1601" s="60"/>
      <c r="F1601" s="60"/>
      <c r="G1601" s="60"/>
      <c r="H1601" s="60"/>
      <c r="I1601" s="60"/>
      <c r="J1601" s="60"/>
      <c r="K1601" s="22">
        <f>SUM(K1604:K1604)</f>
        <v>4</v>
      </c>
      <c r="L1601" s="22">
        <f>ROUND(107.09*(1+M2/100),2)</f>
        <v>107.09</v>
      </c>
      <c r="M1601" s="22">
        <f>ROUND(K1601*L1601,2)</f>
        <v>428.36</v>
      </c>
      <c r="N1601" s="8"/>
    </row>
    <row r="1602" spans="1:14" ht="21.6" customHeight="1" thickBot="1" x14ac:dyDescent="0.25">
      <c r="A1602" s="8"/>
      <c r="B1602" s="8"/>
      <c r="C1602" s="8"/>
      <c r="D1602" s="60" t="s">
        <v>3870</v>
      </c>
      <c r="E1602" s="60"/>
      <c r="F1602" s="60"/>
      <c r="G1602" s="60"/>
      <c r="H1602" s="60"/>
      <c r="I1602" s="60"/>
      <c r="J1602" s="60"/>
      <c r="K1602" s="60"/>
      <c r="L1602" s="60"/>
      <c r="M1602" s="60"/>
      <c r="N1602" s="8"/>
    </row>
    <row r="1603" spans="1:14" ht="15.4" customHeight="1" thickBot="1" x14ac:dyDescent="0.25">
      <c r="A1603" s="8"/>
      <c r="B1603" s="8"/>
      <c r="C1603" s="8"/>
      <c r="D1603" s="8"/>
      <c r="E1603" s="23"/>
      <c r="F1603" s="25" t="s">
        <v>3871</v>
      </c>
      <c r="G1603" s="25" t="s">
        <v>3872</v>
      </c>
      <c r="H1603" s="25" t="s">
        <v>3873</v>
      </c>
      <c r="I1603" s="25" t="s">
        <v>3874</v>
      </c>
      <c r="J1603" s="25" t="s">
        <v>3875</v>
      </c>
      <c r="K1603" s="25" t="s">
        <v>3876</v>
      </c>
      <c r="L1603" s="8"/>
      <c r="M1603" s="8"/>
      <c r="N1603" s="8"/>
    </row>
    <row r="1604" spans="1:14" ht="15.4" customHeight="1" thickBot="1" x14ac:dyDescent="0.25">
      <c r="A1604" s="8"/>
      <c r="B1604" s="8"/>
      <c r="C1604" s="8"/>
      <c r="D1604" s="26"/>
      <c r="E1604" s="27" t="s">
        <v>3877</v>
      </c>
      <c r="F1604" s="28">
        <v>4</v>
      </c>
      <c r="G1604" s="29"/>
      <c r="H1604" s="29"/>
      <c r="I1604" s="29"/>
      <c r="J1604" s="31">
        <f>ROUND(F1604,2)</f>
        <v>4</v>
      </c>
      <c r="K1604" s="33">
        <f>SUM(J1604:J1604)</f>
        <v>4</v>
      </c>
      <c r="L1604" s="8"/>
      <c r="M1604" s="8"/>
      <c r="N1604" s="8"/>
    </row>
    <row r="1605" spans="1:14" ht="15.4" customHeight="1" thickBot="1" x14ac:dyDescent="0.25">
      <c r="A1605" s="12" t="s">
        <v>3878</v>
      </c>
      <c r="B1605" s="6" t="s">
        <v>3879</v>
      </c>
      <c r="C1605" s="6" t="s">
        <v>3880</v>
      </c>
      <c r="D1605" s="60" t="s">
        <v>3881</v>
      </c>
      <c r="E1605" s="60"/>
      <c r="F1605" s="60"/>
      <c r="G1605" s="60"/>
      <c r="H1605" s="60"/>
      <c r="I1605" s="60"/>
      <c r="J1605" s="60"/>
      <c r="K1605" s="22">
        <f>SUM(K1608:K1609)</f>
        <v>625</v>
      </c>
      <c r="L1605" s="22">
        <f>ROUND(4.17*(1+M2/100),2)</f>
        <v>4.17</v>
      </c>
      <c r="M1605" s="22">
        <f>ROUND(K1605*L1605,2)</f>
        <v>2606.25</v>
      </c>
      <c r="N1605" s="8"/>
    </row>
    <row r="1606" spans="1:14" ht="59.1" customHeight="1" thickBot="1" x14ac:dyDescent="0.25">
      <c r="A1606" s="8"/>
      <c r="B1606" s="8"/>
      <c r="C1606" s="8"/>
      <c r="D1606" s="60" t="s">
        <v>3882</v>
      </c>
      <c r="E1606" s="60"/>
      <c r="F1606" s="60"/>
      <c r="G1606" s="60"/>
      <c r="H1606" s="60"/>
      <c r="I1606" s="60"/>
      <c r="J1606" s="60"/>
      <c r="K1606" s="60"/>
      <c r="L1606" s="60"/>
      <c r="M1606" s="60"/>
      <c r="N1606" s="8"/>
    </row>
    <row r="1607" spans="1:14" ht="15.4" customHeight="1" thickBot="1" x14ac:dyDescent="0.25">
      <c r="A1607" s="8"/>
      <c r="B1607" s="8"/>
      <c r="C1607" s="8"/>
      <c r="D1607" s="8"/>
      <c r="E1607" s="23"/>
      <c r="F1607" s="25" t="s">
        <v>3883</v>
      </c>
      <c r="G1607" s="25" t="s">
        <v>3884</v>
      </c>
      <c r="H1607" s="25" t="s">
        <v>3885</v>
      </c>
      <c r="I1607" s="25" t="s">
        <v>3886</v>
      </c>
      <c r="J1607" s="25" t="s">
        <v>3887</v>
      </c>
      <c r="K1607" s="25" t="s">
        <v>3888</v>
      </c>
      <c r="L1607" s="8"/>
      <c r="M1607" s="8"/>
      <c r="N1607" s="8"/>
    </row>
    <row r="1608" spans="1:14" ht="15.4" customHeight="1" thickBot="1" x14ac:dyDescent="0.25">
      <c r="A1608" s="8"/>
      <c r="B1608" s="8"/>
      <c r="C1608" s="8"/>
      <c r="D1608" s="26"/>
      <c r="E1608" s="27" t="s">
        <v>3889</v>
      </c>
      <c r="F1608" s="28">
        <v>1.25</v>
      </c>
      <c r="G1608" s="29">
        <v>200</v>
      </c>
      <c r="H1608" s="29"/>
      <c r="I1608" s="29"/>
      <c r="J1608" s="31">
        <f>ROUND(F1608*G1608,2)</f>
        <v>250</v>
      </c>
      <c r="K1608" s="35"/>
      <c r="L1608" s="8"/>
      <c r="M1608" s="8"/>
      <c r="N1608" s="8"/>
    </row>
    <row r="1609" spans="1:14" ht="15.4" customHeight="1" thickBot="1" x14ac:dyDescent="0.25">
      <c r="A1609" s="8"/>
      <c r="B1609" s="8"/>
      <c r="C1609" s="8"/>
      <c r="D1609" s="26"/>
      <c r="E1609" s="6" t="s">
        <v>3890</v>
      </c>
      <c r="F1609" s="4">
        <v>1.25</v>
      </c>
      <c r="G1609" s="22">
        <v>300</v>
      </c>
      <c r="H1609" s="22"/>
      <c r="I1609" s="22"/>
      <c r="J1609" s="30">
        <f>ROUND(F1609*G1609,2)</f>
        <v>375</v>
      </c>
      <c r="K1609" s="32">
        <f>SUM(J1608:J1609)</f>
        <v>625</v>
      </c>
      <c r="L1609" s="8"/>
      <c r="M1609" s="8"/>
      <c r="N1609" s="8"/>
    </row>
    <row r="1610" spans="1:14" ht="15.4" customHeight="1" thickBot="1" x14ac:dyDescent="0.25">
      <c r="A1610" s="12" t="s">
        <v>3891</v>
      </c>
      <c r="B1610" s="6" t="s">
        <v>3892</v>
      </c>
      <c r="C1610" s="6" t="s">
        <v>3893</v>
      </c>
      <c r="D1610" s="60" t="s">
        <v>3894</v>
      </c>
      <c r="E1610" s="60"/>
      <c r="F1610" s="60"/>
      <c r="G1610" s="60"/>
      <c r="H1610" s="60"/>
      <c r="I1610" s="60"/>
      <c r="J1610" s="60"/>
      <c r="K1610" s="22">
        <f>SUM(K1613:K1613)</f>
        <v>4</v>
      </c>
      <c r="L1610" s="22">
        <f>ROUND(430.76*(1+M2/100),2)</f>
        <v>430.76</v>
      </c>
      <c r="M1610" s="22">
        <f>ROUND(K1610*L1610,2)</f>
        <v>1723.04</v>
      </c>
      <c r="N1610" s="8"/>
    </row>
    <row r="1611" spans="1:14" ht="59.1" customHeight="1" thickBot="1" x14ac:dyDescent="0.25">
      <c r="A1611" s="8"/>
      <c r="B1611" s="8"/>
      <c r="C1611" s="8"/>
      <c r="D1611" s="60" t="s">
        <v>3895</v>
      </c>
      <c r="E1611" s="60"/>
      <c r="F1611" s="60"/>
      <c r="G1611" s="60"/>
      <c r="H1611" s="60"/>
      <c r="I1611" s="60"/>
      <c r="J1611" s="60"/>
      <c r="K1611" s="60"/>
      <c r="L1611" s="60"/>
      <c r="M1611" s="60"/>
      <c r="N1611" s="8"/>
    </row>
    <row r="1612" spans="1:14" ht="15.4" customHeight="1" thickBot="1" x14ac:dyDescent="0.25">
      <c r="A1612" s="8"/>
      <c r="B1612" s="8"/>
      <c r="C1612" s="8"/>
      <c r="D1612" s="8"/>
      <c r="E1612" s="23"/>
      <c r="F1612" s="25" t="s">
        <v>3896</v>
      </c>
      <c r="G1612" s="25" t="s">
        <v>3897</v>
      </c>
      <c r="H1612" s="25" t="s">
        <v>3898</v>
      </c>
      <c r="I1612" s="25" t="s">
        <v>3899</v>
      </c>
      <c r="J1612" s="25" t="s">
        <v>3900</v>
      </c>
      <c r="K1612" s="25" t="s">
        <v>3901</v>
      </c>
      <c r="L1612" s="8"/>
      <c r="M1612" s="8"/>
      <c r="N1612" s="8"/>
    </row>
    <row r="1613" spans="1:14" ht="15.4" customHeight="1" thickBot="1" x14ac:dyDescent="0.25">
      <c r="A1613" s="8"/>
      <c r="B1613" s="8"/>
      <c r="C1613" s="8"/>
      <c r="D1613" s="26"/>
      <c r="E1613" s="27" t="s">
        <v>3902</v>
      </c>
      <c r="F1613" s="28">
        <v>4</v>
      </c>
      <c r="G1613" s="29"/>
      <c r="H1613" s="29"/>
      <c r="I1613" s="29"/>
      <c r="J1613" s="31">
        <f>ROUND(F1613,2)</f>
        <v>4</v>
      </c>
      <c r="K1613" s="33">
        <f>SUM(J1613:J1613)</f>
        <v>4</v>
      </c>
      <c r="L1613" s="8"/>
      <c r="M1613" s="8"/>
      <c r="N1613" s="8"/>
    </row>
    <row r="1614" spans="1:14" ht="15.4" customHeight="1" thickBot="1" x14ac:dyDescent="0.25">
      <c r="A1614" s="12" t="s">
        <v>3903</v>
      </c>
      <c r="B1614" s="6" t="s">
        <v>3904</v>
      </c>
      <c r="C1614" s="6" t="s">
        <v>3905</v>
      </c>
      <c r="D1614" s="60" t="s">
        <v>3906</v>
      </c>
      <c r="E1614" s="60"/>
      <c r="F1614" s="60"/>
      <c r="G1614" s="60"/>
      <c r="H1614" s="60"/>
      <c r="I1614" s="60"/>
      <c r="J1614" s="60"/>
      <c r="K1614" s="22">
        <f>SUM(K1617:K1617)</f>
        <v>4</v>
      </c>
      <c r="L1614" s="22">
        <f>ROUND(2231.11*(1+M2/100),2)</f>
        <v>2231.11</v>
      </c>
      <c r="M1614" s="22">
        <f>ROUND(K1614*L1614,2)</f>
        <v>8924.44</v>
      </c>
      <c r="N1614" s="8"/>
    </row>
    <row r="1615" spans="1:14" ht="40.35" customHeight="1" thickBot="1" x14ac:dyDescent="0.25">
      <c r="A1615" s="8"/>
      <c r="B1615" s="8"/>
      <c r="C1615" s="8"/>
      <c r="D1615" s="60" t="s">
        <v>3907</v>
      </c>
      <c r="E1615" s="60"/>
      <c r="F1615" s="60"/>
      <c r="G1615" s="60"/>
      <c r="H1615" s="60"/>
      <c r="I1615" s="60"/>
      <c r="J1615" s="60"/>
      <c r="K1615" s="60"/>
      <c r="L1615" s="60"/>
      <c r="M1615" s="60"/>
      <c r="N1615" s="8"/>
    </row>
    <row r="1616" spans="1:14" ht="15.4" customHeight="1" thickBot="1" x14ac:dyDescent="0.25">
      <c r="A1616" s="8"/>
      <c r="B1616" s="8"/>
      <c r="C1616" s="8"/>
      <c r="D1616" s="8"/>
      <c r="E1616" s="23"/>
      <c r="F1616" s="25" t="s">
        <v>3908</v>
      </c>
      <c r="G1616" s="25" t="s">
        <v>3909</v>
      </c>
      <c r="H1616" s="25" t="s">
        <v>3910</v>
      </c>
      <c r="I1616" s="25" t="s">
        <v>3911</v>
      </c>
      <c r="J1616" s="25" t="s">
        <v>3912</v>
      </c>
      <c r="K1616" s="25" t="s">
        <v>3913</v>
      </c>
      <c r="L1616" s="8"/>
      <c r="M1616" s="8"/>
      <c r="N1616" s="8"/>
    </row>
    <row r="1617" spans="1:14" ht="15.4" customHeight="1" thickBot="1" x14ac:dyDescent="0.25">
      <c r="A1617" s="8"/>
      <c r="B1617" s="8"/>
      <c r="C1617" s="8"/>
      <c r="D1617" s="26"/>
      <c r="E1617" s="27" t="s">
        <v>3914</v>
      </c>
      <c r="F1617" s="28">
        <v>4</v>
      </c>
      <c r="G1617" s="29"/>
      <c r="H1617" s="29"/>
      <c r="I1617" s="29"/>
      <c r="J1617" s="31">
        <f>ROUND(F1617,2)</f>
        <v>4</v>
      </c>
      <c r="K1617" s="33">
        <f>SUM(J1617:J1617)</f>
        <v>4</v>
      </c>
      <c r="L1617" s="8"/>
      <c r="M1617" s="8"/>
      <c r="N1617" s="8"/>
    </row>
    <row r="1618" spans="1:14" ht="15.4" customHeight="1" thickBot="1" x14ac:dyDescent="0.25">
      <c r="A1618" s="12" t="s">
        <v>3915</v>
      </c>
      <c r="B1618" s="6" t="s">
        <v>3916</v>
      </c>
      <c r="C1618" s="6" t="s">
        <v>3917</v>
      </c>
      <c r="D1618" s="60" t="s">
        <v>3918</v>
      </c>
      <c r="E1618" s="60"/>
      <c r="F1618" s="60"/>
      <c r="G1618" s="60"/>
      <c r="H1618" s="60"/>
      <c r="I1618" s="60"/>
      <c r="J1618" s="60"/>
      <c r="K1618" s="22">
        <f>SUM(K1621:K1621)</f>
        <v>1</v>
      </c>
      <c r="L1618" s="22">
        <f>ROUND(4498.01*(1+M2/100),2)</f>
        <v>4498.01</v>
      </c>
      <c r="M1618" s="22">
        <f>ROUND(K1618*L1618,2)</f>
        <v>4498.01</v>
      </c>
      <c r="N1618" s="8"/>
    </row>
    <row r="1619" spans="1:14" ht="77.849999999999994" customHeight="1" thickBot="1" x14ac:dyDescent="0.25">
      <c r="A1619" s="8"/>
      <c r="B1619" s="8"/>
      <c r="C1619" s="8"/>
      <c r="D1619" s="60" t="s">
        <v>3919</v>
      </c>
      <c r="E1619" s="60"/>
      <c r="F1619" s="60"/>
      <c r="G1619" s="60"/>
      <c r="H1619" s="60"/>
      <c r="I1619" s="60"/>
      <c r="J1619" s="60"/>
      <c r="K1619" s="60"/>
      <c r="L1619" s="60"/>
      <c r="M1619" s="60"/>
      <c r="N1619" s="8"/>
    </row>
    <row r="1620" spans="1:14" ht="15.4" customHeight="1" thickBot="1" x14ac:dyDescent="0.25">
      <c r="A1620" s="8"/>
      <c r="B1620" s="8"/>
      <c r="C1620" s="8"/>
      <c r="D1620" s="8"/>
      <c r="E1620" s="23"/>
      <c r="F1620" s="25" t="s">
        <v>3920</v>
      </c>
      <c r="G1620" s="25" t="s">
        <v>3921</v>
      </c>
      <c r="H1620" s="25" t="s">
        <v>3922</v>
      </c>
      <c r="I1620" s="25" t="s">
        <v>3923</v>
      </c>
      <c r="J1620" s="25" t="s">
        <v>3924</v>
      </c>
      <c r="K1620" s="25" t="s">
        <v>3925</v>
      </c>
      <c r="L1620" s="8"/>
      <c r="M1620" s="8"/>
      <c r="N1620" s="8"/>
    </row>
    <row r="1621" spans="1:14" ht="15.4" customHeight="1" thickBot="1" x14ac:dyDescent="0.25">
      <c r="A1621" s="8"/>
      <c r="B1621" s="8"/>
      <c r="C1621" s="8"/>
      <c r="D1621" s="26"/>
      <c r="E1621" s="27"/>
      <c r="F1621" s="28">
        <v>1</v>
      </c>
      <c r="G1621" s="29"/>
      <c r="H1621" s="29"/>
      <c r="I1621" s="29"/>
      <c r="J1621" s="31">
        <f>ROUND(F1621,2)</f>
        <v>1</v>
      </c>
      <c r="K1621" s="33">
        <f>SUM(J1621:J1621)</f>
        <v>1</v>
      </c>
      <c r="L1621" s="8"/>
      <c r="M1621" s="8"/>
      <c r="N1621" s="8"/>
    </row>
    <row r="1622" spans="1:14" ht="15.4" customHeight="1" thickBot="1" x14ac:dyDescent="0.25">
      <c r="A1622" s="12" t="s">
        <v>3926</v>
      </c>
      <c r="B1622" s="6" t="s">
        <v>3927</v>
      </c>
      <c r="C1622" s="6" t="s">
        <v>3928</v>
      </c>
      <c r="D1622" s="60" t="s">
        <v>3929</v>
      </c>
      <c r="E1622" s="60"/>
      <c r="F1622" s="60"/>
      <c r="G1622" s="60"/>
      <c r="H1622" s="60"/>
      <c r="I1622" s="60"/>
      <c r="J1622" s="60"/>
      <c r="K1622" s="22">
        <f>SUM(K1625:K1625)</f>
        <v>110</v>
      </c>
      <c r="L1622" s="22">
        <f>ROUND(41.06*(1+M2/100),2)</f>
        <v>41.06</v>
      </c>
      <c r="M1622" s="22">
        <f>ROUND(K1622*L1622,2)</f>
        <v>4516.6000000000004</v>
      </c>
      <c r="N1622" s="8"/>
    </row>
    <row r="1623" spans="1:14" ht="40.35" customHeight="1" thickBot="1" x14ac:dyDescent="0.25">
      <c r="A1623" s="8"/>
      <c r="B1623" s="8"/>
      <c r="C1623" s="8"/>
      <c r="D1623" s="60" t="s">
        <v>3930</v>
      </c>
      <c r="E1623" s="60"/>
      <c r="F1623" s="60"/>
      <c r="G1623" s="60"/>
      <c r="H1623" s="60"/>
      <c r="I1623" s="60"/>
      <c r="J1623" s="60"/>
      <c r="K1623" s="60"/>
      <c r="L1623" s="60"/>
      <c r="M1623" s="60"/>
      <c r="N1623" s="8"/>
    </row>
    <row r="1624" spans="1:14" ht="15.4" customHeight="1" thickBot="1" x14ac:dyDescent="0.25">
      <c r="A1624" s="8"/>
      <c r="B1624" s="8"/>
      <c r="C1624" s="8"/>
      <c r="D1624" s="8"/>
      <c r="E1624" s="23"/>
      <c r="F1624" s="25" t="s">
        <v>3931</v>
      </c>
      <c r="G1624" s="25" t="s">
        <v>3932</v>
      </c>
      <c r="H1624" s="25" t="s">
        <v>3933</v>
      </c>
      <c r="I1624" s="25" t="s">
        <v>3934</v>
      </c>
      <c r="J1624" s="25" t="s">
        <v>3935</v>
      </c>
      <c r="K1624" s="25" t="s">
        <v>3936</v>
      </c>
      <c r="L1624" s="8"/>
      <c r="M1624" s="8"/>
      <c r="N1624" s="8"/>
    </row>
    <row r="1625" spans="1:14" ht="15.4" customHeight="1" thickBot="1" x14ac:dyDescent="0.25">
      <c r="A1625" s="8"/>
      <c r="B1625" s="8"/>
      <c r="C1625" s="8"/>
      <c r="D1625" s="26"/>
      <c r="E1625" s="27"/>
      <c r="F1625" s="28">
        <v>1</v>
      </c>
      <c r="G1625" s="29">
        <v>110</v>
      </c>
      <c r="H1625" s="29"/>
      <c r="I1625" s="29"/>
      <c r="J1625" s="31">
        <f>ROUND(F1625*G1625,2)</f>
        <v>110</v>
      </c>
      <c r="K1625" s="33">
        <f>SUM(J1625:J1625)</f>
        <v>110</v>
      </c>
      <c r="L1625" s="8"/>
      <c r="M1625" s="8"/>
      <c r="N1625" s="8"/>
    </row>
    <row r="1626" spans="1:14" ht="15.4" customHeight="1" thickBot="1" x14ac:dyDescent="0.25">
      <c r="A1626" s="12" t="s">
        <v>3937</v>
      </c>
      <c r="B1626" s="6" t="s">
        <v>3938</v>
      </c>
      <c r="C1626" s="6" t="s">
        <v>3939</v>
      </c>
      <c r="D1626" s="60" t="s">
        <v>3940</v>
      </c>
      <c r="E1626" s="60"/>
      <c r="F1626" s="60"/>
      <c r="G1626" s="60"/>
      <c r="H1626" s="60"/>
      <c r="I1626" s="60"/>
      <c r="J1626" s="60"/>
      <c r="K1626" s="22">
        <f>SUM(K1629:K1629)</f>
        <v>85</v>
      </c>
      <c r="L1626" s="22">
        <f>ROUND(38.08*(1+M2/100),2)</f>
        <v>38.08</v>
      </c>
      <c r="M1626" s="22">
        <f>ROUND(K1626*L1626,2)</f>
        <v>3236.8</v>
      </c>
      <c r="N1626" s="8"/>
    </row>
    <row r="1627" spans="1:14" ht="68.45" customHeight="1" thickBot="1" x14ac:dyDescent="0.25">
      <c r="A1627" s="8"/>
      <c r="B1627" s="8"/>
      <c r="C1627" s="8"/>
      <c r="D1627" s="60" t="s">
        <v>3941</v>
      </c>
      <c r="E1627" s="60"/>
      <c r="F1627" s="60"/>
      <c r="G1627" s="60"/>
      <c r="H1627" s="60"/>
      <c r="I1627" s="60"/>
      <c r="J1627" s="60"/>
      <c r="K1627" s="60"/>
      <c r="L1627" s="60"/>
      <c r="M1627" s="60"/>
      <c r="N1627" s="8"/>
    </row>
    <row r="1628" spans="1:14" ht="15.4" customHeight="1" thickBot="1" x14ac:dyDescent="0.25">
      <c r="A1628" s="8"/>
      <c r="B1628" s="8"/>
      <c r="C1628" s="8"/>
      <c r="D1628" s="8"/>
      <c r="E1628" s="23"/>
      <c r="F1628" s="25" t="s">
        <v>3942</v>
      </c>
      <c r="G1628" s="25" t="s">
        <v>3943</v>
      </c>
      <c r="H1628" s="25" t="s">
        <v>3944</v>
      </c>
      <c r="I1628" s="25" t="s">
        <v>3945</v>
      </c>
      <c r="J1628" s="25" t="s">
        <v>3946</v>
      </c>
      <c r="K1628" s="25" t="s">
        <v>3947</v>
      </c>
      <c r="L1628" s="8"/>
      <c r="M1628" s="8"/>
      <c r="N1628" s="8"/>
    </row>
    <row r="1629" spans="1:14" ht="15.4" customHeight="1" thickBot="1" x14ac:dyDescent="0.25">
      <c r="A1629" s="8"/>
      <c r="B1629" s="8"/>
      <c r="C1629" s="8"/>
      <c r="D1629" s="26"/>
      <c r="E1629" s="27"/>
      <c r="F1629" s="28">
        <v>1</v>
      </c>
      <c r="G1629" s="29">
        <v>85</v>
      </c>
      <c r="H1629" s="29"/>
      <c r="I1629" s="29"/>
      <c r="J1629" s="31">
        <f>ROUND(F1629*G1629,2)</f>
        <v>85</v>
      </c>
      <c r="K1629" s="33">
        <f>SUM(J1629:J1629)</f>
        <v>85</v>
      </c>
      <c r="L1629" s="8"/>
      <c r="M1629" s="8"/>
      <c r="N1629" s="8"/>
    </row>
    <row r="1630" spans="1:14" ht="15.4" customHeight="1" thickBot="1" x14ac:dyDescent="0.25">
      <c r="A1630" s="12" t="s">
        <v>3948</v>
      </c>
      <c r="B1630" s="6" t="s">
        <v>3949</v>
      </c>
      <c r="C1630" s="6" t="s">
        <v>3950</v>
      </c>
      <c r="D1630" s="60" t="s">
        <v>3951</v>
      </c>
      <c r="E1630" s="60"/>
      <c r="F1630" s="60"/>
      <c r="G1630" s="60"/>
      <c r="H1630" s="60"/>
      <c r="I1630" s="60"/>
      <c r="J1630" s="60"/>
      <c r="K1630" s="22">
        <f>SUM(K1633:K1633)</f>
        <v>13</v>
      </c>
      <c r="L1630" s="22">
        <f>ROUND(44.15*(1+M2/100),2)</f>
        <v>44.15</v>
      </c>
      <c r="M1630" s="22">
        <f>ROUND(K1630*L1630,2)</f>
        <v>573.95000000000005</v>
      </c>
      <c r="N1630" s="8"/>
    </row>
    <row r="1631" spans="1:14" ht="30.95" customHeight="1" thickBot="1" x14ac:dyDescent="0.25">
      <c r="A1631" s="8"/>
      <c r="B1631" s="8"/>
      <c r="C1631" s="8"/>
      <c r="D1631" s="60" t="s">
        <v>3952</v>
      </c>
      <c r="E1631" s="60"/>
      <c r="F1631" s="60"/>
      <c r="G1631" s="60"/>
      <c r="H1631" s="60"/>
      <c r="I1631" s="60"/>
      <c r="J1631" s="60"/>
      <c r="K1631" s="60"/>
      <c r="L1631" s="60"/>
      <c r="M1631" s="60"/>
      <c r="N1631" s="8"/>
    </row>
    <row r="1632" spans="1:14" ht="15.4" customHeight="1" thickBot="1" x14ac:dyDescent="0.25">
      <c r="A1632" s="8"/>
      <c r="B1632" s="8"/>
      <c r="C1632" s="8"/>
      <c r="D1632" s="8"/>
      <c r="E1632" s="23"/>
      <c r="F1632" s="25" t="s">
        <v>3953</v>
      </c>
      <c r="G1632" s="25" t="s">
        <v>3954</v>
      </c>
      <c r="H1632" s="25" t="s">
        <v>3955</v>
      </c>
      <c r="I1632" s="25" t="s">
        <v>3956</v>
      </c>
      <c r="J1632" s="25" t="s">
        <v>3957</v>
      </c>
      <c r="K1632" s="25" t="s">
        <v>3958</v>
      </c>
      <c r="L1632" s="8"/>
      <c r="M1632" s="8"/>
      <c r="N1632" s="8"/>
    </row>
    <row r="1633" spans="1:14" ht="15.4" customHeight="1" thickBot="1" x14ac:dyDescent="0.25">
      <c r="A1633" s="8"/>
      <c r="B1633" s="8"/>
      <c r="C1633" s="8"/>
      <c r="D1633" s="26"/>
      <c r="E1633" s="27"/>
      <c r="F1633" s="28">
        <v>13</v>
      </c>
      <c r="G1633" s="29"/>
      <c r="H1633" s="29"/>
      <c r="I1633" s="29"/>
      <c r="J1633" s="31">
        <f>ROUND(F1633,2)</f>
        <v>13</v>
      </c>
      <c r="K1633" s="33">
        <f>SUM(J1633:J1633)</f>
        <v>13</v>
      </c>
      <c r="L1633" s="8"/>
      <c r="M1633" s="8"/>
      <c r="N1633" s="8"/>
    </row>
    <row r="1634" spans="1:14" ht="15.4" customHeight="1" thickBot="1" x14ac:dyDescent="0.25">
      <c r="A1634" s="12" t="s">
        <v>3959</v>
      </c>
      <c r="B1634" s="6" t="s">
        <v>3960</v>
      </c>
      <c r="C1634" s="6" t="s">
        <v>3961</v>
      </c>
      <c r="D1634" s="60" t="s">
        <v>3962</v>
      </c>
      <c r="E1634" s="60"/>
      <c r="F1634" s="60"/>
      <c r="G1634" s="60"/>
      <c r="H1634" s="60"/>
      <c r="I1634" s="60"/>
      <c r="J1634" s="60"/>
      <c r="K1634" s="22">
        <f>SUM(K1637:K1637)</f>
        <v>1</v>
      </c>
      <c r="L1634" s="22">
        <f>ROUND(79.95*(1+M2/100),2)</f>
        <v>79.95</v>
      </c>
      <c r="M1634" s="22">
        <f>ROUND(K1634*L1634,2)</f>
        <v>79.95</v>
      </c>
      <c r="N1634" s="8"/>
    </row>
    <row r="1635" spans="1:14" ht="21.6" customHeight="1" thickBot="1" x14ac:dyDescent="0.25">
      <c r="A1635" s="8"/>
      <c r="B1635" s="8"/>
      <c r="C1635" s="8"/>
      <c r="D1635" s="60" t="s">
        <v>3963</v>
      </c>
      <c r="E1635" s="60"/>
      <c r="F1635" s="60"/>
      <c r="G1635" s="60"/>
      <c r="H1635" s="60"/>
      <c r="I1635" s="60"/>
      <c r="J1635" s="60"/>
      <c r="K1635" s="60"/>
      <c r="L1635" s="60"/>
      <c r="M1635" s="60"/>
      <c r="N1635" s="8"/>
    </row>
    <row r="1636" spans="1:14" ht="15.4" customHeight="1" thickBot="1" x14ac:dyDescent="0.25">
      <c r="A1636" s="8"/>
      <c r="B1636" s="8"/>
      <c r="C1636" s="8"/>
      <c r="D1636" s="8"/>
      <c r="E1636" s="23"/>
      <c r="F1636" s="25" t="s">
        <v>3964</v>
      </c>
      <c r="G1636" s="25" t="s">
        <v>3965</v>
      </c>
      <c r="H1636" s="25" t="s">
        <v>3966</v>
      </c>
      <c r="I1636" s="25" t="s">
        <v>3967</v>
      </c>
      <c r="J1636" s="25" t="s">
        <v>3968</v>
      </c>
      <c r="K1636" s="25" t="s">
        <v>3969</v>
      </c>
      <c r="L1636" s="8"/>
      <c r="M1636" s="8"/>
      <c r="N1636" s="8"/>
    </row>
    <row r="1637" spans="1:14" ht="15.4" customHeight="1" thickBot="1" x14ac:dyDescent="0.25">
      <c r="A1637" s="8"/>
      <c r="B1637" s="8"/>
      <c r="C1637" s="8"/>
      <c r="D1637" s="26"/>
      <c r="E1637" s="27" t="s">
        <v>3970</v>
      </c>
      <c r="F1637" s="28">
        <v>1</v>
      </c>
      <c r="G1637" s="29"/>
      <c r="H1637" s="29"/>
      <c r="I1637" s="29"/>
      <c r="J1637" s="31">
        <f>ROUND(F1637,2)</f>
        <v>1</v>
      </c>
      <c r="K1637" s="33">
        <f>SUM(J1637:J1637)</f>
        <v>1</v>
      </c>
      <c r="L1637" s="8"/>
      <c r="M1637" s="8"/>
      <c r="N1637" s="8"/>
    </row>
    <row r="1638" spans="1:14" ht="15.4" customHeight="1" thickBot="1" x14ac:dyDescent="0.25">
      <c r="A1638" s="12" t="s">
        <v>3971</v>
      </c>
      <c r="B1638" s="6" t="s">
        <v>3972</v>
      </c>
      <c r="C1638" s="6" t="s">
        <v>3973</v>
      </c>
      <c r="D1638" s="60" t="s">
        <v>3974</v>
      </c>
      <c r="E1638" s="60"/>
      <c r="F1638" s="60"/>
      <c r="G1638" s="60"/>
      <c r="H1638" s="60"/>
      <c r="I1638" s="60"/>
      <c r="J1638" s="60"/>
      <c r="K1638" s="22">
        <f>SUM(K1641:K1643)</f>
        <v>22</v>
      </c>
      <c r="L1638" s="22">
        <f>ROUND(7.74*(1+M2/100),2)</f>
        <v>7.74</v>
      </c>
      <c r="M1638" s="22">
        <f>ROUND(K1638*L1638,2)</f>
        <v>170.28</v>
      </c>
      <c r="N1638" s="8"/>
    </row>
    <row r="1639" spans="1:14" ht="21.6" customHeight="1" thickBot="1" x14ac:dyDescent="0.25">
      <c r="A1639" s="8"/>
      <c r="B1639" s="8"/>
      <c r="C1639" s="8"/>
      <c r="D1639" s="60" t="s">
        <v>3975</v>
      </c>
      <c r="E1639" s="60"/>
      <c r="F1639" s="60"/>
      <c r="G1639" s="60"/>
      <c r="H1639" s="60"/>
      <c r="I1639" s="60"/>
      <c r="J1639" s="60"/>
      <c r="K1639" s="60"/>
      <c r="L1639" s="60"/>
      <c r="M1639" s="60"/>
      <c r="N1639" s="8"/>
    </row>
    <row r="1640" spans="1:14" ht="15.4" customHeight="1" thickBot="1" x14ac:dyDescent="0.25">
      <c r="A1640" s="8"/>
      <c r="B1640" s="8"/>
      <c r="C1640" s="8"/>
      <c r="D1640" s="8"/>
      <c r="E1640" s="23"/>
      <c r="F1640" s="25" t="s">
        <v>3976</v>
      </c>
      <c r="G1640" s="25" t="s">
        <v>3977</v>
      </c>
      <c r="H1640" s="25" t="s">
        <v>3978</v>
      </c>
      <c r="I1640" s="25" t="s">
        <v>3979</v>
      </c>
      <c r="J1640" s="25" t="s">
        <v>3980</v>
      </c>
      <c r="K1640" s="25" t="s">
        <v>3981</v>
      </c>
      <c r="L1640" s="8"/>
      <c r="M1640" s="8"/>
      <c r="N1640" s="8"/>
    </row>
    <row r="1641" spans="1:14" ht="15.4" customHeight="1" thickBot="1" x14ac:dyDescent="0.25">
      <c r="A1641" s="8"/>
      <c r="B1641" s="8"/>
      <c r="C1641" s="8"/>
      <c r="D1641" s="26"/>
      <c r="E1641" s="27" t="s">
        <v>3982</v>
      </c>
      <c r="F1641" s="28">
        <v>14</v>
      </c>
      <c r="G1641" s="29"/>
      <c r="H1641" s="29"/>
      <c r="I1641" s="29"/>
      <c r="J1641" s="31">
        <f>ROUND(F1641,2)</f>
        <v>14</v>
      </c>
      <c r="K1641" s="35"/>
      <c r="L1641" s="8"/>
      <c r="M1641" s="8"/>
      <c r="N1641" s="8"/>
    </row>
    <row r="1642" spans="1:14" ht="15.4" customHeight="1" thickBot="1" x14ac:dyDescent="0.25">
      <c r="A1642" s="8"/>
      <c r="B1642" s="8"/>
      <c r="C1642" s="8"/>
      <c r="D1642" s="26"/>
      <c r="E1642" s="6" t="s">
        <v>3983</v>
      </c>
      <c r="F1642" s="4">
        <v>4</v>
      </c>
      <c r="G1642" s="22"/>
      <c r="H1642" s="22"/>
      <c r="I1642" s="22"/>
      <c r="J1642" s="30">
        <f>ROUND(F1642,2)</f>
        <v>4</v>
      </c>
      <c r="K1642" s="8"/>
      <c r="L1642" s="8"/>
      <c r="M1642" s="8"/>
      <c r="N1642" s="8"/>
    </row>
    <row r="1643" spans="1:14" ht="15.4" customHeight="1" thickBot="1" x14ac:dyDescent="0.25">
      <c r="A1643" s="8"/>
      <c r="B1643" s="8"/>
      <c r="C1643" s="8"/>
      <c r="D1643" s="26"/>
      <c r="E1643" s="6" t="s">
        <v>3984</v>
      </c>
      <c r="F1643" s="4">
        <v>4</v>
      </c>
      <c r="G1643" s="22"/>
      <c r="H1643" s="22"/>
      <c r="I1643" s="22"/>
      <c r="J1643" s="30">
        <f>ROUND(F1643,2)</f>
        <v>4</v>
      </c>
      <c r="K1643" s="32">
        <f>SUM(J1641:J1643)</f>
        <v>22</v>
      </c>
      <c r="L1643" s="8"/>
      <c r="M1643" s="8"/>
      <c r="N1643" s="8"/>
    </row>
    <row r="1644" spans="1:14" ht="15.4" customHeight="1" thickBot="1" x14ac:dyDescent="0.25">
      <c r="A1644" s="12" t="s">
        <v>3985</v>
      </c>
      <c r="B1644" s="6" t="s">
        <v>3986</v>
      </c>
      <c r="C1644" s="6" t="s">
        <v>3987</v>
      </c>
      <c r="D1644" s="60" t="s">
        <v>3988</v>
      </c>
      <c r="E1644" s="60"/>
      <c r="F1644" s="60"/>
      <c r="G1644" s="60"/>
      <c r="H1644" s="60"/>
      <c r="I1644" s="60"/>
      <c r="J1644" s="60"/>
      <c r="K1644" s="22">
        <f>SUM(K1647:K1650)</f>
        <v>35</v>
      </c>
      <c r="L1644" s="22">
        <f>ROUND(7.74*(1+M2/100),2)</f>
        <v>7.74</v>
      </c>
      <c r="M1644" s="22">
        <f>ROUND(K1644*L1644,2)</f>
        <v>270.89999999999998</v>
      </c>
      <c r="N1644" s="8"/>
    </row>
    <row r="1645" spans="1:14" ht="21.6" customHeight="1" thickBot="1" x14ac:dyDescent="0.25">
      <c r="A1645" s="8"/>
      <c r="B1645" s="8"/>
      <c r="C1645" s="8"/>
      <c r="D1645" s="60" t="s">
        <v>3989</v>
      </c>
      <c r="E1645" s="60"/>
      <c r="F1645" s="60"/>
      <c r="G1645" s="60"/>
      <c r="H1645" s="60"/>
      <c r="I1645" s="60"/>
      <c r="J1645" s="60"/>
      <c r="K1645" s="60"/>
      <c r="L1645" s="60"/>
      <c r="M1645" s="60"/>
      <c r="N1645" s="8"/>
    </row>
    <row r="1646" spans="1:14" ht="15.4" customHeight="1" thickBot="1" x14ac:dyDescent="0.25">
      <c r="A1646" s="8"/>
      <c r="B1646" s="8"/>
      <c r="C1646" s="8"/>
      <c r="D1646" s="8"/>
      <c r="E1646" s="23"/>
      <c r="F1646" s="25" t="s">
        <v>3990</v>
      </c>
      <c r="G1646" s="25" t="s">
        <v>3991</v>
      </c>
      <c r="H1646" s="25" t="s">
        <v>3992</v>
      </c>
      <c r="I1646" s="25" t="s">
        <v>3993</v>
      </c>
      <c r="J1646" s="25" t="s">
        <v>3994</v>
      </c>
      <c r="K1646" s="25" t="s">
        <v>3995</v>
      </c>
      <c r="L1646" s="8"/>
      <c r="M1646" s="8"/>
      <c r="N1646" s="8"/>
    </row>
    <row r="1647" spans="1:14" ht="15.4" customHeight="1" thickBot="1" x14ac:dyDescent="0.25">
      <c r="A1647" s="8"/>
      <c r="B1647" s="8"/>
      <c r="C1647" s="8"/>
      <c r="D1647" s="26"/>
      <c r="E1647" s="27" t="s">
        <v>3996</v>
      </c>
      <c r="F1647" s="28">
        <v>6</v>
      </c>
      <c r="G1647" s="29"/>
      <c r="H1647" s="29"/>
      <c r="I1647" s="29"/>
      <c r="J1647" s="31">
        <f>ROUND(F1647,2)</f>
        <v>6</v>
      </c>
      <c r="K1647" s="35"/>
      <c r="L1647" s="8"/>
      <c r="M1647" s="8"/>
      <c r="N1647" s="8"/>
    </row>
    <row r="1648" spans="1:14" ht="21.6" customHeight="1" thickBot="1" x14ac:dyDescent="0.25">
      <c r="A1648" s="8"/>
      <c r="B1648" s="8"/>
      <c r="C1648" s="8"/>
      <c r="D1648" s="26"/>
      <c r="E1648" s="6" t="s">
        <v>3997</v>
      </c>
      <c r="F1648" s="4">
        <v>2</v>
      </c>
      <c r="G1648" s="22"/>
      <c r="H1648" s="22"/>
      <c r="I1648" s="22"/>
      <c r="J1648" s="30">
        <f>ROUND(F1648,2)</f>
        <v>2</v>
      </c>
      <c r="K1648" s="8"/>
      <c r="L1648" s="8"/>
      <c r="M1648" s="8"/>
      <c r="N1648" s="8"/>
    </row>
    <row r="1649" spans="1:14" ht="15.4" customHeight="1" thickBot="1" x14ac:dyDescent="0.25">
      <c r="A1649" s="8"/>
      <c r="B1649" s="8"/>
      <c r="C1649" s="8"/>
      <c r="D1649" s="26"/>
      <c r="E1649" s="6" t="s">
        <v>3998</v>
      </c>
      <c r="F1649" s="4">
        <v>3</v>
      </c>
      <c r="G1649" s="22"/>
      <c r="H1649" s="22"/>
      <c r="I1649" s="22"/>
      <c r="J1649" s="30">
        <f>ROUND(F1649,2)</f>
        <v>3</v>
      </c>
      <c r="K1649" s="8"/>
      <c r="L1649" s="8"/>
      <c r="M1649" s="8"/>
      <c r="N1649" s="8"/>
    </row>
    <row r="1650" spans="1:14" ht="15.4" customHeight="1" thickBot="1" x14ac:dyDescent="0.25">
      <c r="A1650" s="8"/>
      <c r="B1650" s="8"/>
      <c r="C1650" s="8"/>
      <c r="D1650" s="26"/>
      <c r="E1650" s="6" t="s">
        <v>3999</v>
      </c>
      <c r="F1650" s="4">
        <v>24</v>
      </c>
      <c r="G1650" s="22"/>
      <c r="H1650" s="22"/>
      <c r="I1650" s="22"/>
      <c r="J1650" s="30">
        <f>ROUND(F1650,2)</f>
        <v>24</v>
      </c>
      <c r="K1650" s="32">
        <f>SUM(J1647:J1650)</f>
        <v>35</v>
      </c>
      <c r="L1650" s="8"/>
      <c r="M1650" s="8"/>
      <c r="N1650" s="8"/>
    </row>
    <row r="1651" spans="1:14" ht="15.4" customHeight="1" thickBot="1" x14ac:dyDescent="0.25">
      <c r="A1651" s="12" t="s">
        <v>4000</v>
      </c>
      <c r="B1651" s="6" t="s">
        <v>4001</v>
      </c>
      <c r="C1651" s="6" t="s">
        <v>4002</v>
      </c>
      <c r="D1651" s="60" t="s">
        <v>4003</v>
      </c>
      <c r="E1651" s="60"/>
      <c r="F1651" s="60"/>
      <c r="G1651" s="60"/>
      <c r="H1651" s="60"/>
      <c r="I1651" s="60"/>
      <c r="J1651" s="60"/>
      <c r="K1651" s="22">
        <f>SUM(K1654:K1654)</f>
        <v>8</v>
      </c>
      <c r="L1651" s="22">
        <f>ROUND(113.07*(1+M2/100),2)</f>
        <v>113.07</v>
      </c>
      <c r="M1651" s="22">
        <f>ROUND(K1651*L1651,2)</f>
        <v>904.56</v>
      </c>
      <c r="N1651" s="8"/>
    </row>
    <row r="1652" spans="1:14" ht="30.95" customHeight="1" thickBot="1" x14ac:dyDescent="0.25">
      <c r="A1652" s="8"/>
      <c r="B1652" s="8"/>
      <c r="C1652" s="8"/>
      <c r="D1652" s="60" t="s">
        <v>4004</v>
      </c>
      <c r="E1652" s="60"/>
      <c r="F1652" s="60"/>
      <c r="G1652" s="60"/>
      <c r="H1652" s="60"/>
      <c r="I1652" s="60"/>
      <c r="J1652" s="60"/>
      <c r="K1652" s="60"/>
      <c r="L1652" s="60"/>
      <c r="M1652" s="60"/>
      <c r="N1652" s="8"/>
    </row>
    <row r="1653" spans="1:14" ht="15.4" customHeight="1" thickBot="1" x14ac:dyDescent="0.25">
      <c r="A1653" s="8"/>
      <c r="B1653" s="8"/>
      <c r="C1653" s="8"/>
      <c r="D1653" s="8"/>
      <c r="E1653" s="23"/>
      <c r="F1653" s="25" t="s">
        <v>4005</v>
      </c>
      <c r="G1653" s="25" t="s">
        <v>4006</v>
      </c>
      <c r="H1653" s="25" t="s">
        <v>4007</v>
      </c>
      <c r="I1653" s="25" t="s">
        <v>4008</v>
      </c>
      <c r="J1653" s="25" t="s">
        <v>4009</v>
      </c>
      <c r="K1653" s="25" t="s">
        <v>4010</v>
      </c>
      <c r="L1653" s="8"/>
      <c r="M1653" s="8"/>
      <c r="N1653" s="8"/>
    </row>
    <row r="1654" spans="1:14" ht="15.4" customHeight="1" thickBot="1" x14ac:dyDescent="0.25">
      <c r="A1654" s="8"/>
      <c r="B1654" s="8"/>
      <c r="C1654" s="8"/>
      <c r="D1654" s="26"/>
      <c r="E1654" s="27" t="s">
        <v>4011</v>
      </c>
      <c r="F1654" s="28">
        <v>8</v>
      </c>
      <c r="G1654" s="29"/>
      <c r="H1654" s="29"/>
      <c r="I1654" s="29"/>
      <c r="J1654" s="31">
        <f>ROUND(F1654,2)</f>
        <v>8</v>
      </c>
      <c r="K1654" s="33">
        <f>SUM(J1654:J1654)</f>
        <v>8</v>
      </c>
      <c r="L1654" s="8"/>
      <c r="M1654" s="8"/>
      <c r="N1654" s="8"/>
    </row>
    <row r="1655" spans="1:14" ht="15.4" customHeight="1" thickBot="1" x14ac:dyDescent="0.25">
      <c r="A1655" s="12" t="s">
        <v>4012</v>
      </c>
      <c r="B1655" s="6" t="s">
        <v>4013</v>
      </c>
      <c r="C1655" s="6" t="s">
        <v>4014</v>
      </c>
      <c r="D1655" s="60" t="s">
        <v>4015</v>
      </c>
      <c r="E1655" s="60"/>
      <c r="F1655" s="60"/>
      <c r="G1655" s="60"/>
      <c r="H1655" s="60"/>
      <c r="I1655" s="60"/>
      <c r="J1655" s="60"/>
      <c r="K1655" s="22">
        <f>SUM(K1658:K1658)</f>
        <v>8</v>
      </c>
      <c r="L1655" s="22">
        <f>ROUND(98.01*(1+M2/100),2)</f>
        <v>98.01</v>
      </c>
      <c r="M1655" s="22">
        <f>ROUND(K1655*L1655,2)</f>
        <v>784.08</v>
      </c>
      <c r="N1655" s="8"/>
    </row>
    <row r="1656" spans="1:14" ht="40.35" customHeight="1" thickBot="1" x14ac:dyDescent="0.25">
      <c r="A1656" s="8"/>
      <c r="B1656" s="8"/>
      <c r="C1656" s="8"/>
      <c r="D1656" s="60" t="s">
        <v>4016</v>
      </c>
      <c r="E1656" s="60"/>
      <c r="F1656" s="60"/>
      <c r="G1656" s="60"/>
      <c r="H1656" s="60"/>
      <c r="I1656" s="60"/>
      <c r="J1656" s="60"/>
      <c r="K1656" s="60"/>
      <c r="L1656" s="60"/>
      <c r="M1656" s="60"/>
      <c r="N1656" s="8"/>
    </row>
    <row r="1657" spans="1:14" ht="15.4" customHeight="1" thickBot="1" x14ac:dyDescent="0.25">
      <c r="A1657" s="8"/>
      <c r="B1657" s="8"/>
      <c r="C1657" s="8"/>
      <c r="D1657" s="8"/>
      <c r="E1657" s="23"/>
      <c r="F1657" s="25" t="s">
        <v>4017</v>
      </c>
      <c r="G1657" s="25" t="s">
        <v>4018</v>
      </c>
      <c r="H1657" s="25" t="s">
        <v>4019</v>
      </c>
      <c r="I1657" s="25" t="s">
        <v>4020</v>
      </c>
      <c r="J1657" s="25" t="s">
        <v>4021</v>
      </c>
      <c r="K1657" s="25" t="s">
        <v>4022</v>
      </c>
      <c r="L1657" s="8"/>
      <c r="M1657" s="8"/>
      <c r="N1657" s="8"/>
    </row>
    <row r="1658" spans="1:14" ht="15.4" customHeight="1" thickBot="1" x14ac:dyDescent="0.25">
      <c r="A1658" s="8"/>
      <c r="B1658" s="8"/>
      <c r="C1658" s="8"/>
      <c r="D1658" s="26"/>
      <c r="E1658" s="27" t="s">
        <v>4023</v>
      </c>
      <c r="F1658" s="28">
        <v>8</v>
      </c>
      <c r="G1658" s="29"/>
      <c r="H1658" s="29"/>
      <c r="I1658" s="29"/>
      <c r="J1658" s="31">
        <f>ROUND(F1658,2)</f>
        <v>8</v>
      </c>
      <c r="K1658" s="33">
        <f>SUM(J1658:J1658)</f>
        <v>8</v>
      </c>
      <c r="L1658" s="8"/>
      <c r="M1658" s="8"/>
      <c r="N1658" s="8"/>
    </row>
    <row r="1659" spans="1:14" ht="15.4" customHeight="1" thickBot="1" x14ac:dyDescent="0.25">
      <c r="A1659" s="12" t="s">
        <v>4024</v>
      </c>
      <c r="B1659" s="6" t="s">
        <v>4025</v>
      </c>
      <c r="C1659" s="6" t="s">
        <v>4026</v>
      </c>
      <c r="D1659" s="60" t="s">
        <v>4027</v>
      </c>
      <c r="E1659" s="60"/>
      <c r="F1659" s="60"/>
      <c r="G1659" s="60"/>
      <c r="H1659" s="60"/>
      <c r="I1659" s="60"/>
      <c r="J1659" s="60"/>
      <c r="K1659" s="22">
        <f>SUM(K1662:K1669)</f>
        <v>80</v>
      </c>
      <c r="L1659" s="22">
        <f>ROUND(113.07*(1+M2/100),2)</f>
        <v>113.07</v>
      </c>
      <c r="M1659" s="22">
        <f>ROUND(K1659*L1659,2)</f>
        <v>9045.6</v>
      </c>
      <c r="N1659" s="8"/>
    </row>
    <row r="1660" spans="1:14" ht="12.2" customHeight="1" thickBot="1" x14ac:dyDescent="0.25">
      <c r="A1660" s="8"/>
      <c r="B1660" s="8"/>
      <c r="C1660" s="8"/>
      <c r="D1660" s="60" t="s">
        <v>4028</v>
      </c>
      <c r="E1660" s="60"/>
      <c r="F1660" s="60"/>
      <c r="G1660" s="60"/>
      <c r="H1660" s="60"/>
      <c r="I1660" s="60"/>
      <c r="J1660" s="60"/>
      <c r="K1660" s="60"/>
      <c r="L1660" s="60"/>
      <c r="M1660" s="60"/>
      <c r="N1660" s="8"/>
    </row>
    <row r="1661" spans="1:14" ht="15.4" customHeight="1" thickBot="1" x14ac:dyDescent="0.25">
      <c r="A1661" s="8"/>
      <c r="B1661" s="8"/>
      <c r="C1661" s="8"/>
      <c r="D1661" s="8"/>
      <c r="E1661" s="23"/>
      <c r="F1661" s="25" t="s">
        <v>4029</v>
      </c>
      <c r="G1661" s="25" t="s">
        <v>4030</v>
      </c>
      <c r="H1661" s="25" t="s">
        <v>4031</v>
      </c>
      <c r="I1661" s="25" t="s">
        <v>4032</v>
      </c>
      <c r="J1661" s="25" t="s">
        <v>4033</v>
      </c>
      <c r="K1661" s="25" t="s">
        <v>4034</v>
      </c>
      <c r="L1661" s="8"/>
      <c r="M1661" s="8"/>
      <c r="N1661" s="8"/>
    </row>
    <row r="1662" spans="1:14" ht="15.4" customHeight="1" thickBot="1" x14ac:dyDescent="0.25">
      <c r="A1662" s="8"/>
      <c r="B1662" s="8"/>
      <c r="C1662" s="8"/>
      <c r="D1662" s="26"/>
      <c r="E1662" s="27" t="s">
        <v>4035</v>
      </c>
      <c r="F1662" s="28"/>
      <c r="G1662" s="29"/>
      <c r="H1662" s="29"/>
      <c r="I1662" s="29"/>
      <c r="J1662" s="34" t="s">
        <v>4036</v>
      </c>
      <c r="K1662" s="35"/>
      <c r="L1662" s="8"/>
      <c r="M1662" s="8"/>
      <c r="N1662" s="8"/>
    </row>
    <row r="1663" spans="1:14" ht="15.4" customHeight="1" thickBot="1" x14ac:dyDescent="0.25">
      <c r="A1663" s="8"/>
      <c r="B1663" s="8"/>
      <c r="C1663" s="8"/>
      <c r="D1663" s="26"/>
      <c r="E1663" s="6" t="s">
        <v>4037</v>
      </c>
      <c r="F1663" s="4">
        <v>15</v>
      </c>
      <c r="G1663" s="22"/>
      <c r="H1663" s="22"/>
      <c r="I1663" s="22"/>
      <c r="J1663" s="30">
        <f t="shared" ref="J1663:J1669" si="21">ROUND(F1663,2)</f>
        <v>15</v>
      </c>
      <c r="K1663" s="8"/>
      <c r="L1663" s="8"/>
      <c r="M1663" s="8"/>
      <c r="N1663" s="8"/>
    </row>
    <row r="1664" spans="1:14" ht="15.4" customHeight="1" thickBot="1" x14ac:dyDescent="0.25">
      <c r="A1664" s="8"/>
      <c r="B1664" s="8"/>
      <c r="C1664" s="8"/>
      <c r="D1664" s="26"/>
      <c r="E1664" s="6" t="s">
        <v>4038</v>
      </c>
      <c r="F1664" s="4">
        <v>15</v>
      </c>
      <c r="G1664" s="22"/>
      <c r="H1664" s="22"/>
      <c r="I1664" s="22"/>
      <c r="J1664" s="30">
        <f t="shared" si="21"/>
        <v>15</v>
      </c>
      <c r="K1664" s="8"/>
      <c r="L1664" s="8"/>
      <c r="M1664" s="8"/>
      <c r="N1664" s="8"/>
    </row>
    <row r="1665" spans="1:14" ht="15.4" customHeight="1" thickBot="1" x14ac:dyDescent="0.25">
      <c r="A1665" s="8"/>
      <c r="B1665" s="8"/>
      <c r="C1665" s="8"/>
      <c r="D1665" s="26"/>
      <c r="E1665" s="6" t="s">
        <v>4039</v>
      </c>
      <c r="F1665" s="4">
        <v>10</v>
      </c>
      <c r="G1665" s="22"/>
      <c r="H1665" s="22"/>
      <c r="I1665" s="22"/>
      <c r="J1665" s="30">
        <f t="shared" si="21"/>
        <v>10</v>
      </c>
      <c r="K1665" s="8"/>
      <c r="L1665" s="8"/>
      <c r="M1665" s="8"/>
      <c r="N1665" s="8"/>
    </row>
    <row r="1666" spans="1:14" ht="15.4" customHeight="1" thickBot="1" x14ac:dyDescent="0.25">
      <c r="A1666" s="8"/>
      <c r="B1666" s="8"/>
      <c r="C1666" s="8"/>
      <c r="D1666" s="26"/>
      <c r="E1666" s="6" t="s">
        <v>4040</v>
      </c>
      <c r="F1666" s="4">
        <v>10</v>
      </c>
      <c r="G1666" s="22"/>
      <c r="H1666" s="22"/>
      <c r="I1666" s="22"/>
      <c r="J1666" s="30">
        <f t="shared" si="21"/>
        <v>10</v>
      </c>
      <c r="K1666" s="8"/>
      <c r="L1666" s="8"/>
      <c r="M1666" s="8"/>
      <c r="N1666" s="8"/>
    </row>
    <row r="1667" spans="1:14" ht="15.4" customHeight="1" thickBot="1" x14ac:dyDescent="0.25">
      <c r="A1667" s="8"/>
      <c r="B1667" s="8"/>
      <c r="C1667" s="8"/>
      <c r="D1667" s="26"/>
      <c r="E1667" s="6" t="s">
        <v>4041</v>
      </c>
      <c r="F1667" s="4">
        <v>10</v>
      </c>
      <c r="G1667" s="22"/>
      <c r="H1667" s="22"/>
      <c r="I1667" s="22"/>
      <c r="J1667" s="30">
        <f t="shared" si="21"/>
        <v>10</v>
      </c>
      <c r="K1667" s="8"/>
      <c r="L1667" s="8"/>
      <c r="M1667" s="8"/>
      <c r="N1667" s="8"/>
    </row>
    <row r="1668" spans="1:14" ht="15.4" customHeight="1" thickBot="1" x14ac:dyDescent="0.25">
      <c r="A1668" s="8"/>
      <c r="B1668" s="8"/>
      <c r="C1668" s="8"/>
      <c r="D1668" s="26"/>
      <c r="E1668" s="6" t="s">
        <v>4042</v>
      </c>
      <c r="F1668" s="4">
        <v>10</v>
      </c>
      <c r="G1668" s="22"/>
      <c r="H1668" s="22"/>
      <c r="I1668" s="22"/>
      <c r="J1668" s="30">
        <f t="shared" si="21"/>
        <v>10</v>
      </c>
      <c r="K1668" s="8"/>
      <c r="L1668" s="8"/>
      <c r="M1668" s="8"/>
      <c r="N1668" s="8"/>
    </row>
    <row r="1669" spans="1:14" ht="15.4" customHeight="1" thickBot="1" x14ac:dyDescent="0.25">
      <c r="A1669" s="8"/>
      <c r="B1669" s="8"/>
      <c r="C1669" s="8"/>
      <c r="D1669" s="26"/>
      <c r="E1669" s="6" t="s">
        <v>4043</v>
      </c>
      <c r="F1669" s="4">
        <v>10</v>
      </c>
      <c r="G1669" s="22"/>
      <c r="H1669" s="22"/>
      <c r="I1669" s="22"/>
      <c r="J1669" s="30">
        <f t="shared" si="21"/>
        <v>10</v>
      </c>
      <c r="K1669" s="32">
        <f>SUM(J1662:J1669)</f>
        <v>80</v>
      </c>
      <c r="L1669" s="8"/>
      <c r="M1669" s="8"/>
      <c r="N1669" s="8"/>
    </row>
    <row r="1670" spans="1:14" ht="15.4" customHeight="1" thickBot="1" x14ac:dyDescent="0.25">
      <c r="A1670" s="36"/>
      <c r="B1670" s="36"/>
      <c r="C1670" s="36"/>
      <c r="D1670" s="50" t="s">
        <v>4044</v>
      </c>
      <c r="E1670" s="51"/>
      <c r="F1670" s="51"/>
      <c r="G1670" s="51"/>
      <c r="H1670" s="51"/>
      <c r="I1670" s="51"/>
      <c r="J1670" s="51"/>
      <c r="K1670" s="51"/>
      <c r="L1670" s="52">
        <f>M1581+M1585+M1589+M1593+M1597+M1601+M1605+M1610+M1614+M1618+M1622+M1626+M1630+M1634+M1638+M1644+M1651+M1655+M1659</f>
        <v>42261.030000000006</v>
      </c>
      <c r="M1670" s="52">
        <f>ROUND(L1670,2)</f>
        <v>42261.03</v>
      </c>
      <c r="N1670" s="8"/>
    </row>
    <row r="1671" spans="1:14" ht="15.4" customHeight="1" thickBot="1" x14ac:dyDescent="0.25">
      <c r="A1671" s="47" t="s">
        <v>4045</v>
      </c>
      <c r="B1671" s="47" t="s">
        <v>4046</v>
      </c>
      <c r="C1671" s="48"/>
      <c r="D1671" s="62" t="s">
        <v>4047</v>
      </c>
      <c r="E1671" s="62"/>
      <c r="F1671" s="62"/>
      <c r="G1671" s="62"/>
      <c r="H1671" s="62"/>
      <c r="I1671" s="62"/>
      <c r="J1671" s="62"/>
      <c r="K1671" s="48"/>
      <c r="L1671" s="49">
        <f>L1676</f>
        <v>11899.2</v>
      </c>
      <c r="M1671" s="49">
        <f>ROUND(L1671,2)</f>
        <v>11899.2</v>
      </c>
      <c r="N1671" s="8"/>
    </row>
    <row r="1672" spans="1:14" ht="15.4" customHeight="1" thickBot="1" x14ac:dyDescent="0.25">
      <c r="A1672" s="12" t="s">
        <v>4048</v>
      </c>
      <c r="B1672" s="6" t="s">
        <v>4049</v>
      </c>
      <c r="C1672" s="6" t="s">
        <v>4050</v>
      </c>
      <c r="D1672" s="60" t="s">
        <v>4051</v>
      </c>
      <c r="E1672" s="60"/>
      <c r="F1672" s="60"/>
      <c r="G1672" s="60"/>
      <c r="H1672" s="60"/>
      <c r="I1672" s="60"/>
      <c r="J1672" s="60"/>
      <c r="K1672" s="22">
        <f>SUM(K1675:K1675)</f>
        <v>40</v>
      </c>
      <c r="L1672" s="22">
        <f>ROUND(297.48*(1+M2/100),2)</f>
        <v>297.48</v>
      </c>
      <c r="M1672" s="22">
        <f>ROUND(K1672*L1672,2)</f>
        <v>11899.2</v>
      </c>
      <c r="N1672" s="8"/>
    </row>
    <row r="1673" spans="1:14" ht="30.95" customHeight="1" thickBot="1" x14ac:dyDescent="0.25">
      <c r="A1673" s="8"/>
      <c r="B1673" s="8"/>
      <c r="C1673" s="8"/>
      <c r="D1673" s="60" t="s">
        <v>4052</v>
      </c>
      <c r="E1673" s="60"/>
      <c r="F1673" s="60"/>
      <c r="G1673" s="60"/>
      <c r="H1673" s="60"/>
      <c r="I1673" s="60"/>
      <c r="J1673" s="60"/>
      <c r="K1673" s="60"/>
      <c r="L1673" s="60"/>
      <c r="M1673" s="60"/>
      <c r="N1673" s="8"/>
    </row>
    <row r="1674" spans="1:14" ht="15.4" customHeight="1" thickBot="1" x14ac:dyDescent="0.25">
      <c r="A1674" s="8"/>
      <c r="B1674" s="8"/>
      <c r="C1674" s="8"/>
      <c r="D1674" s="8"/>
      <c r="E1674" s="23"/>
      <c r="F1674" s="25" t="s">
        <v>4053</v>
      </c>
      <c r="G1674" s="25" t="s">
        <v>4054</v>
      </c>
      <c r="H1674" s="25" t="s">
        <v>4055</v>
      </c>
      <c r="I1674" s="25" t="s">
        <v>4056</v>
      </c>
      <c r="J1674" s="25" t="s">
        <v>4057</v>
      </c>
      <c r="K1674" s="25" t="s">
        <v>4058</v>
      </c>
      <c r="L1674" s="8"/>
      <c r="M1674" s="8"/>
      <c r="N1674" s="8"/>
    </row>
    <row r="1675" spans="1:14" ht="15.4" customHeight="1" thickBot="1" x14ac:dyDescent="0.25">
      <c r="A1675" s="8"/>
      <c r="B1675" s="8"/>
      <c r="C1675" s="8"/>
      <c r="D1675" s="26"/>
      <c r="E1675" s="27" t="s">
        <v>4059</v>
      </c>
      <c r="F1675" s="28">
        <v>1</v>
      </c>
      <c r="G1675" s="29">
        <v>40</v>
      </c>
      <c r="H1675" s="29"/>
      <c r="I1675" s="29"/>
      <c r="J1675" s="31">
        <f>ROUND(F1675*G1675,2)</f>
        <v>40</v>
      </c>
      <c r="K1675" s="33">
        <f>SUM(J1675:J1675)</f>
        <v>40</v>
      </c>
      <c r="L1675" s="8"/>
      <c r="M1675" s="8"/>
      <c r="N1675" s="8"/>
    </row>
    <row r="1676" spans="1:14" ht="15.4" customHeight="1" thickBot="1" x14ac:dyDescent="0.25">
      <c r="A1676" s="36"/>
      <c r="B1676" s="36"/>
      <c r="C1676" s="36"/>
      <c r="D1676" s="50" t="s">
        <v>4060</v>
      </c>
      <c r="E1676" s="51"/>
      <c r="F1676" s="51"/>
      <c r="G1676" s="51"/>
      <c r="H1676" s="51"/>
      <c r="I1676" s="51"/>
      <c r="J1676" s="51"/>
      <c r="K1676" s="51"/>
      <c r="L1676" s="52">
        <f>M1672</f>
        <v>11899.2</v>
      </c>
      <c r="M1676" s="52">
        <f>ROUND(L1676,2)</f>
        <v>11899.2</v>
      </c>
      <c r="N1676" s="8"/>
    </row>
    <row r="1677" spans="1:14" ht="15.4" customHeight="1" thickBot="1" x14ac:dyDescent="0.25">
      <c r="A1677" s="47" t="s">
        <v>4061</v>
      </c>
      <c r="B1677" s="47" t="s">
        <v>4062</v>
      </c>
      <c r="C1677" s="48"/>
      <c r="D1677" s="62" t="s">
        <v>4063</v>
      </c>
      <c r="E1677" s="62"/>
      <c r="F1677" s="62"/>
      <c r="G1677" s="62"/>
      <c r="H1677" s="62"/>
      <c r="I1677" s="62"/>
      <c r="J1677" s="62"/>
      <c r="K1677" s="48"/>
      <c r="L1677" s="49">
        <f>L1682</f>
        <v>832.95</v>
      </c>
      <c r="M1677" s="49">
        <f>ROUND(L1677,2)</f>
        <v>832.95</v>
      </c>
      <c r="N1677" s="8"/>
    </row>
    <row r="1678" spans="1:14" ht="15.4" customHeight="1" thickBot="1" x14ac:dyDescent="0.25">
      <c r="A1678" s="12" t="s">
        <v>4064</v>
      </c>
      <c r="B1678" s="6" t="s">
        <v>4065</v>
      </c>
      <c r="C1678" s="6" t="s">
        <v>4066</v>
      </c>
      <c r="D1678" s="60">
        <v>1</v>
      </c>
      <c r="E1678" s="60"/>
      <c r="F1678" s="60"/>
      <c r="G1678" s="60"/>
      <c r="H1678" s="60"/>
      <c r="I1678" s="60"/>
      <c r="J1678" s="60"/>
      <c r="K1678" s="22">
        <f>SUM(K1681:K1681)</f>
        <v>1</v>
      </c>
      <c r="L1678" s="22">
        <f>ROUND(832.95*(1+M2/100),2)</f>
        <v>832.95</v>
      </c>
      <c r="M1678" s="22">
        <f>ROUND(K1678*L1678,2)</f>
        <v>832.95</v>
      </c>
      <c r="N1678" s="8"/>
    </row>
    <row r="1679" spans="1:14" ht="30.95" customHeight="1" thickBot="1" x14ac:dyDescent="0.25">
      <c r="A1679" s="8"/>
      <c r="B1679" s="8"/>
      <c r="C1679" s="8"/>
      <c r="D1679" s="60" t="s">
        <v>4067</v>
      </c>
      <c r="E1679" s="60"/>
      <c r="F1679" s="60"/>
      <c r="G1679" s="60"/>
      <c r="H1679" s="60"/>
      <c r="I1679" s="60"/>
      <c r="J1679" s="60"/>
      <c r="K1679" s="60"/>
      <c r="L1679" s="60"/>
      <c r="M1679" s="60"/>
      <c r="N1679" s="8"/>
    </row>
    <row r="1680" spans="1:14" ht="15.4" customHeight="1" thickBot="1" x14ac:dyDescent="0.25">
      <c r="A1680" s="8"/>
      <c r="B1680" s="8"/>
      <c r="C1680" s="8"/>
      <c r="D1680" s="8"/>
      <c r="E1680" s="23"/>
      <c r="F1680" s="25" t="s">
        <v>4068</v>
      </c>
      <c r="G1680" s="25" t="s">
        <v>4069</v>
      </c>
      <c r="H1680" s="25" t="s">
        <v>4070</v>
      </c>
      <c r="I1680" s="25" t="s">
        <v>4071</v>
      </c>
      <c r="J1680" s="25" t="s">
        <v>4072</v>
      </c>
      <c r="K1680" s="25" t="s">
        <v>4073</v>
      </c>
      <c r="L1680" s="8"/>
      <c r="M1680" s="8"/>
      <c r="N1680" s="8"/>
    </row>
    <row r="1681" spans="1:14" ht="15.4" customHeight="1" thickBot="1" x14ac:dyDescent="0.25">
      <c r="A1681" s="8"/>
      <c r="B1681" s="8"/>
      <c r="C1681" s="8"/>
      <c r="D1681" s="26"/>
      <c r="E1681" s="27"/>
      <c r="F1681" s="28">
        <v>1</v>
      </c>
      <c r="G1681" s="29"/>
      <c r="H1681" s="29"/>
      <c r="I1681" s="29"/>
      <c r="J1681" s="31">
        <f>ROUND(F1681,2)</f>
        <v>1</v>
      </c>
      <c r="K1681" s="33">
        <f>SUM(J1681:J1681)</f>
        <v>1</v>
      </c>
      <c r="L1681" s="8"/>
      <c r="M1681" s="8"/>
      <c r="N1681" s="8"/>
    </row>
    <row r="1682" spans="1:14" ht="15.4" customHeight="1" thickBot="1" x14ac:dyDescent="0.25">
      <c r="A1682" s="36"/>
      <c r="B1682" s="36"/>
      <c r="C1682" s="36"/>
      <c r="D1682" s="50" t="s">
        <v>4074</v>
      </c>
      <c r="E1682" s="51"/>
      <c r="F1682" s="51"/>
      <c r="G1682" s="51"/>
      <c r="H1682" s="51"/>
      <c r="I1682" s="51"/>
      <c r="J1682" s="51"/>
      <c r="K1682" s="51"/>
      <c r="L1682" s="52">
        <f>M1678</f>
        <v>832.95</v>
      </c>
      <c r="M1682" s="52">
        <f>ROUND(L1682,2)</f>
        <v>832.95</v>
      </c>
      <c r="N1682" s="8"/>
    </row>
    <row r="1683" spans="1:14" ht="15.4" customHeight="1" thickBot="1" x14ac:dyDescent="0.25">
      <c r="A1683" s="43"/>
      <c r="B1683" s="43"/>
      <c r="C1683" s="43"/>
      <c r="D1683" s="53" t="s">
        <v>4075</v>
      </c>
      <c r="E1683" s="54"/>
      <c r="F1683" s="54"/>
      <c r="G1683" s="54"/>
      <c r="H1683" s="54"/>
      <c r="I1683" s="54"/>
      <c r="J1683" s="54"/>
      <c r="K1683" s="54"/>
      <c r="L1683" s="55">
        <f>M64+M97+M280+M370+M551+M647+M777+M844+M1078+M1381+M1579+M1670+M1676+M1682</f>
        <v>932333.57</v>
      </c>
      <c r="M1683" s="55">
        <f>ROUND(L1683,2)</f>
        <v>932333.57</v>
      </c>
      <c r="N1683" s="8"/>
    </row>
  </sheetData>
  <mergeCells count="643">
    <mergeCell ref="D1673:M1673"/>
    <mergeCell ref="D1677:J1677"/>
    <mergeCell ref="D1678:J1678"/>
    <mergeCell ref="D1679:M1679"/>
    <mergeCell ref="D1645:M1645"/>
    <mergeCell ref="D1651:J1651"/>
    <mergeCell ref="D1652:M1652"/>
    <mergeCell ref="D1655:J1655"/>
    <mergeCell ref="D1656:M1656"/>
    <mergeCell ref="D1659:J1659"/>
    <mergeCell ref="D1660:M1660"/>
    <mergeCell ref="D1671:J1671"/>
    <mergeCell ref="D1672:J1672"/>
    <mergeCell ref="D1626:J1626"/>
    <mergeCell ref="D1627:M1627"/>
    <mergeCell ref="D1630:J1630"/>
    <mergeCell ref="D1631:M1631"/>
    <mergeCell ref="D1634:J1634"/>
    <mergeCell ref="D1635:M1635"/>
    <mergeCell ref="D1638:J1638"/>
    <mergeCell ref="D1639:M1639"/>
    <mergeCell ref="D1644:J1644"/>
    <mergeCell ref="D1606:M1606"/>
    <mergeCell ref="D1610:J1610"/>
    <mergeCell ref="D1611:M1611"/>
    <mergeCell ref="D1614:J1614"/>
    <mergeCell ref="D1615:M1615"/>
    <mergeCell ref="D1618:J1618"/>
    <mergeCell ref="D1619:M1619"/>
    <mergeCell ref="D1622:J1622"/>
    <mergeCell ref="D1623:M1623"/>
    <mergeCell ref="D1589:J1589"/>
    <mergeCell ref="D1590:M1590"/>
    <mergeCell ref="D1593:J1593"/>
    <mergeCell ref="D1594:M1594"/>
    <mergeCell ref="D1597:J1597"/>
    <mergeCell ref="D1598:M1598"/>
    <mergeCell ref="D1601:J1601"/>
    <mergeCell ref="D1602:M1602"/>
    <mergeCell ref="D1605:J1605"/>
    <mergeCell ref="D1570:J1570"/>
    <mergeCell ref="D1571:M1571"/>
    <mergeCell ref="D1574:J1574"/>
    <mergeCell ref="D1575:M1575"/>
    <mergeCell ref="D1580:J1580"/>
    <mergeCell ref="D1581:J1581"/>
    <mergeCell ref="D1582:M1582"/>
    <mergeCell ref="D1585:J1585"/>
    <mergeCell ref="D1586:M1586"/>
    <mergeCell ref="D1536:M1536"/>
    <mergeCell ref="D1545:J1545"/>
    <mergeCell ref="D1546:M1546"/>
    <mergeCell ref="D1551:J1551"/>
    <mergeCell ref="D1552:M1552"/>
    <mergeCell ref="D1562:J1562"/>
    <mergeCell ref="D1563:M1563"/>
    <mergeCell ref="D1566:J1566"/>
    <mergeCell ref="D1567:M1567"/>
    <mergeCell ref="D1518:M1518"/>
    <mergeCell ref="D1521:J1521"/>
    <mergeCell ref="D1522:M1522"/>
    <mergeCell ref="D1525:J1525"/>
    <mergeCell ref="D1526:M1526"/>
    <mergeCell ref="D1530:J1530"/>
    <mergeCell ref="D1531:J1531"/>
    <mergeCell ref="D1532:M1532"/>
    <mergeCell ref="D1535:J1535"/>
    <mergeCell ref="D1501:J1501"/>
    <mergeCell ref="D1502:M1502"/>
    <mergeCell ref="D1505:J1505"/>
    <mergeCell ref="D1506:M1506"/>
    <mergeCell ref="D1509:J1509"/>
    <mergeCell ref="D1510:M1510"/>
    <mergeCell ref="D1513:J1513"/>
    <mergeCell ref="D1514:M1514"/>
    <mergeCell ref="D1517:J1517"/>
    <mergeCell ref="D1482:M1482"/>
    <mergeCell ref="D1485:J1485"/>
    <mergeCell ref="D1486:M1486"/>
    <mergeCell ref="D1489:J1489"/>
    <mergeCell ref="D1490:M1490"/>
    <mergeCell ref="D1493:J1493"/>
    <mergeCell ref="D1494:M1494"/>
    <mergeCell ref="D1497:J1497"/>
    <mergeCell ref="D1498:M1498"/>
    <mergeCell ref="D1464:M1464"/>
    <mergeCell ref="D1467:J1467"/>
    <mergeCell ref="D1468:M1468"/>
    <mergeCell ref="D1472:J1472"/>
    <mergeCell ref="D1473:J1473"/>
    <mergeCell ref="D1474:M1474"/>
    <mergeCell ref="D1477:J1477"/>
    <mergeCell ref="D1478:M1478"/>
    <mergeCell ref="D1481:J1481"/>
    <mergeCell ref="D1447:J1447"/>
    <mergeCell ref="D1448:M1448"/>
    <mergeCell ref="D1451:J1451"/>
    <mergeCell ref="D1452:M1452"/>
    <mergeCell ref="D1455:J1455"/>
    <mergeCell ref="D1456:M1456"/>
    <mergeCell ref="D1459:J1459"/>
    <mergeCell ref="D1460:M1460"/>
    <mergeCell ref="D1463:J1463"/>
    <mergeCell ref="D1428:M1428"/>
    <mergeCell ref="D1431:J1431"/>
    <mergeCell ref="D1432:M1432"/>
    <mergeCell ref="D1435:J1435"/>
    <mergeCell ref="D1436:M1436"/>
    <mergeCell ref="D1439:J1439"/>
    <mergeCell ref="D1440:M1440"/>
    <mergeCell ref="D1443:J1443"/>
    <mergeCell ref="D1444:M1444"/>
    <mergeCell ref="D1409:J1409"/>
    <mergeCell ref="D1410:M1410"/>
    <mergeCell ref="D1414:J1414"/>
    <mergeCell ref="D1415:M1415"/>
    <mergeCell ref="D1419:J1419"/>
    <mergeCell ref="D1420:M1420"/>
    <mergeCell ref="D1423:J1423"/>
    <mergeCell ref="D1424:M1424"/>
    <mergeCell ref="D1427:J1427"/>
    <mergeCell ref="D1389:M1389"/>
    <mergeCell ref="D1393:J1393"/>
    <mergeCell ref="D1394:M1394"/>
    <mergeCell ref="D1397:J1397"/>
    <mergeCell ref="D1398:M1398"/>
    <mergeCell ref="D1401:J1401"/>
    <mergeCell ref="D1402:M1402"/>
    <mergeCell ref="D1405:J1405"/>
    <mergeCell ref="D1406:M1406"/>
    <mergeCell ref="D1372:J1372"/>
    <mergeCell ref="D1373:M1373"/>
    <mergeCell ref="D1376:J1376"/>
    <mergeCell ref="D1377:M1377"/>
    <mergeCell ref="D1382:J1382"/>
    <mergeCell ref="D1383:J1383"/>
    <mergeCell ref="D1384:J1384"/>
    <mergeCell ref="D1385:M1385"/>
    <mergeCell ref="D1388:J1388"/>
    <mergeCell ref="D1352:M1352"/>
    <mergeCell ref="D1355:J1355"/>
    <mergeCell ref="D1356:M1356"/>
    <mergeCell ref="D1359:J1359"/>
    <mergeCell ref="D1360:M1360"/>
    <mergeCell ref="D1363:J1363"/>
    <mergeCell ref="D1364:M1364"/>
    <mergeCell ref="D1367:J1367"/>
    <mergeCell ref="D1368:M1368"/>
    <mergeCell ref="D1335:J1335"/>
    <mergeCell ref="D1336:M1336"/>
    <mergeCell ref="D1339:J1339"/>
    <mergeCell ref="D1340:M1340"/>
    <mergeCell ref="D1343:J1343"/>
    <mergeCell ref="D1344:M1344"/>
    <mergeCell ref="D1347:J1347"/>
    <mergeCell ref="D1348:M1348"/>
    <mergeCell ref="D1351:J1351"/>
    <mergeCell ref="D1314:M1314"/>
    <mergeCell ref="D1317:J1317"/>
    <mergeCell ref="D1318:M1318"/>
    <mergeCell ref="D1321:J1321"/>
    <mergeCell ref="D1322:M1322"/>
    <mergeCell ref="D1326:J1326"/>
    <mergeCell ref="D1327:M1327"/>
    <mergeCell ref="D1330:J1330"/>
    <mergeCell ref="D1331:M1331"/>
    <mergeCell ref="D1292:M1292"/>
    <mergeCell ref="D1296:J1296"/>
    <mergeCell ref="D1297:M1297"/>
    <mergeCell ref="D1301:J1301"/>
    <mergeCell ref="D1302:J1302"/>
    <mergeCell ref="D1303:M1303"/>
    <mergeCell ref="D1308:J1308"/>
    <mergeCell ref="D1309:M1309"/>
    <mergeCell ref="D1313:J1313"/>
    <mergeCell ref="D1274:J1274"/>
    <mergeCell ref="D1275:M1275"/>
    <mergeCell ref="D1278:J1278"/>
    <mergeCell ref="D1279:M1279"/>
    <mergeCell ref="D1283:J1283"/>
    <mergeCell ref="D1284:M1284"/>
    <mergeCell ref="D1287:J1287"/>
    <mergeCell ref="D1288:M1288"/>
    <mergeCell ref="D1291:J1291"/>
    <mergeCell ref="D1253:M1253"/>
    <mergeCell ref="D1258:J1258"/>
    <mergeCell ref="D1259:M1259"/>
    <mergeCell ref="D1262:J1262"/>
    <mergeCell ref="D1263:M1263"/>
    <mergeCell ref="D1266:J1266"/>
    <mergeCell ref="D1267:M1267"/>
    <mergeCell ref="D1270:J1270"/>
    <mergeCell ref="D1271:M1271"/>
    <mergeCell ref="D1235:J1235"/>
    <mergeCell ref="D1236:M1236"/>
    <mergeCell ref="D1239:J1239"/>
    <mergeCell ref="D1240:M1240"/>
    <mergeCell ref="D1244:J1244"/>
    <mergeCell ref="D1245:M1245"/>
    <mergeCell ref="D1248:J1248"/>
    <mergeCell ref="D1249:M1249"/>
    <mergeCell ref="D1252:J1252"/>
    <mergeCell ref="D1207:M1207"/>
    <mergeCell ref="D1211:J1211"/>
    <mergeCell ref="D1212:M1212"/>
    <mergeCell ref="D1215:J1215"/>
    <mergeCell ref="D1216:M1216"/>
    <mergeCell ref="D1221:J1221"/>
    <mergeCell ref="D1222:M1222"/>
    <mergeCell ref="D1231:J1231"/>
    <mergeCell ref="D1232:M1232"/>
    <mergeCell ref="D1188:M1188"/>
    <mergeCell ref="D1191:J1191"/>
    <mergeCell ref="D1192:M1192"/>
    <mergeCell ref="D1196:J1196"/>
    <mergeCell ref="D1197:J1197"/>
    <mergeCell ref="D1198:M1198"/>
    <mergeCell ref="D1201:J1201"/>
    <mergeCell ref="D1202:M1202"/>
    <mergeCell ref="D1206:J1206"/>
    <mergeCell ref="D1171:J1171"/>
    <mergeCell ref="D1172:M1172"/>
    <mergeCell ref="D1175:J1175"/>
    <mergeCell ref="D1176:M1176"/>
    <mergeCell ref="D1179:J1179"/>
    <mergeCell ref="D1180:M1180"/>
    <mergeCell ref="D1183:J1183"/>
    <mergeCell ref="D1184:M1184"/>
    <mergeCell ref="D1187:J1187"/>
    <mergeCell ref="D1153:J1153"/>
    <mergeCell ref="D1154:M1154"/>
    <mergeCell ref="D1157:J1157"/>
    <mergeCell ref="D1158:M1158"/>
    <mergeCell ref="D1161:J1161"/>
    <mergeCell ref="D1162:M1162"/>
    <mergeCell ref="D1166:J1166"/>
    <mergeCell ref="D1167:J1167"/>
    <mergeCell ref="D1168:M1168"/>
    <mergeCell ref="D1134:M1134"/>
    <mergeCell ref="D1137:J1137"/>
    <mergeCell ref="D1138:M1138"/>
    <mergeCell ref="D1141:J1141"/>
    <mergeCell ref="D1142:M1142"/>
    <mergeCell ref="D1145:J1145"/>
    <mergeCell ref="D1146:M1146"/>
    <mergeCell ref="D1149:J1149"/>
    <mergeCell ref="D1150:M1150"/>
    <mergeCell ref="D1117:J1117"/>
    <mergeCell ref="D1118:M1118"/>
    <mergeCell ref="D1121:J1121"/>
    <mergeCell ref="D1122:M1122"/>
    <mergeCell ref="D1125:J1125"/>
    <mergeCell ref="D1126:M1126"/>
    <mergeCell ref="D1129:J1129"/>
    <mergeCell ref="D1130:M1130"/>
    <mergeCell ref="D1133:J1133"/>
    <mergeCell ref="D1098:M1098"/>
    <mergeCell ref="D1101:J1101"/>
    <mergeCell ref="D1102:M1102"/>
    <mergeCell ref="D1105:J1105"/>
    <mergeCell ref="D1106:M1106"/>
    <mergeCell ref="D1109:J1109"/>
    <mergeCell ref="D1110:M1110"/>
    <mergeCell ref="D1113:J1113"/>
    <mergeCell ref="D1114:M1114"/>
    <mergeCell ref="D1081:J1081"/>
    <mergeCell ref="D1082:M1082"/>
    <mergeCell ref="D1085:J1085"/>
    <mergeCell ref="D1086:M1086"/>
    <mergeCell ref="D1089:J1089"/>
    <mergeCell ref="D1090:M1090"/>
    <mergeCell ref="D1093:J1093"/>
    <mergeCell ref="D1094:M1094"/>
    <mergeCell ref="D1097:J1097"/>
    <mergeCell ref="D1062:M1062"/>
    <mergeCell ref="D1065:J1065"/>
    <mergeCell ref="D1066:M1066"/>
    <mergeCell ref="D1069:J1069"/>
    <mergeCell ref="D1070:M1070"/>
    <mergeCell ref="D1073:J1073"/>
    <mergeCell ref="D1074:M1074"/>
    <mergeCell ref="D1079:J1079"/>
    <mergeCell ref="D1080:J1080"/>
    <mergeCell ref="D1044:M1044"/>
    <mergeCell ref="D1047:J1047"/>
    <mergeCell ref="D1048:M1048"/>
    <mergeCell ref="D1052:J1052"/>
    <mergeCell ref="D1053:J1053"/>
    <mergeCell ref="D1054:M1054"/>
    <mergeCell ref="D1057:J1057"/>
    <mergeCell ref="D1058:M1058"/>
    <mergeCell ref="D1061:J1061"/>
    <mergeCell ref="D1027:J1027"/>
    <mergeCell ref="D1028:M1028"/>
    <mergeCell ref="D1031:J1031"/>
    <mergeCell ref="D1032:M1032"/>
    <mergeCell ref="D1035:J1035"/>
    <mergeCell ref="D1036:M1036"/>
    <mergeCell ref="D1039:J1039"/>
    <mergeCell ref="D1040:M1040"/>
    <mergeCell ref="D1043:J1043"/>
    <mergeCell ref="D1007:J1007"/>
    <mergeCell ref="D1008:M1008"/>
    <mergeCell ref="D1013:J1013"/>
    <mergeCell ref="D1014:M1014"/>
    <mergeCell ref="D1018:J1018"/>
    <mergeCell ref="D1019:J1019"/>
    <mergeCell ref="D1020:M1020"/>
    <mergeCell ref="D1023:J1023"/>
    <mergeCell ref="D1024:M1024"/>
    <mergeCell ref="D977:M977"/>
    <mergeCell ref="D985:J985"/>
    <mergeCell ref="D986:M986"/>
    <mergeCell ref="D989:J989"/>
    <mergeCell ref="D990:M990"/>
    <mergeCell ref="D993:J993"/>
    <mergeCell ref="D994:M994"/>
    <mergeCell ref="D997:J997"/>
    <mergeCell ref="D998:M998"/>
    <mergeCell ref="D957:J957"/>
    <mergeCell ref="D958:M958"/>
    <mergeCell ref="D961:J961"/>
    <mergeCell ref="D962:M962"/>
    <mergeCell ref="D967:J967"/>
    <mergeCell ref="D968:M968"/>
    <mergeCell ref="D971:J971"/>
    <mergeCell ref="D972:M972"/>
    <mergeCell ref="D976:J976"/>
    <mergeCell ref="D939:J939"/>
    <mergeCell ref="D940:M940"/>
    <mergeCell ref="D943:J943"/>
    <mergeCell ref="D944:M944"/>
    <mergeCell ref="D947:J947"/>
    <mergeCell ref="D948:M948"/>
    <mergeCell ref="D951:J951"/>
    <mergeCell ref="D952:M952"/>
    <mergeCell ref="D956:J956"/>
    <mergeCell ref="D917:M917"/>
    <mergeCell ref="D921:J921"/>
    <mergeCell ref="D922:M922"/>
    <mergeCell ref="D926:J926"/>
    <mergeCell ref="D927:M927"/>
    <mergeCell ref="D931:J931"/>
    <mergeCell ref="D932:M932"/>
    <mergeCell ref="D935:J935"/>
    <mergeCell ref="D936:M936"/>
    <mergeCell ref="D887:J887"/>
    <mergeCell ref="D888:M888"/>
    <mergeCell ref="D891:J891"/>
    <mergeCell ref="D892:M892"/>
    <mergeCell ref="D908:J908"/>
    <mergeCell ref="D909:M909"/>
    <mergeCell ref="D912:J912"/>
    <mergeCell ref="D913:M913"/>
    <mergeCell ref="D916:J916"/>
    <mergeCell ref="D868:M868"/>
    <mergeCell ref="D871:J871"/>
    <mergeCell ref="D872:M872"/>
    <mergeCell ref="D875:J875"/>
    <mergeCell ref="D876:M876"/>
    <mergeCell ref="D879:J879"/>
    <mergeCell ref="D880:M880"/>
    <mergeCell ref="D883:J883"/>
    <mergeCell ref="D884:M884"/>
    <mergeCell ref="D851:J851"/>
    <mergeCell ref="D852:M852"/>
    <mergeCell ref="D855:J855"/>
    <mergeCell ref="D856:M856"/>
    <mergeCell ref="D859:J859"/>
    <mergeCell ref="D860:M860"/>
    <mergeCell ref="D863:J863"/>
    <mergeCell ref="D864:M864"/>
    <mergeCell ref="D867:J867"/>
    <mergeCell ref="D832:M832"/>
    <mergeCell ref="D835:J835"/>
    <mergeCell ref="D836:M836"/>
    <mergeCell ref="D839:J839"/>
    <mergeCell ref="D840:M840"/>
    <mergeCell ref="D845:J845"/>
    <mergeCell ref="D846:J846"/>
    <mergeCell ref="D847:J847"/>
    <mergeCell ref="D848:M848"/>
    <mergeCell ref="D813:J813"/>
    <mergeCell ref="D814:M814"/>
    <mergeCell ref="D817:J817"/>
    <mergeCell ref="D818:M818"/>
    <mergeCell ref="D823:J823"/>
    <mergeCell ref="D824:M824"/>
    <mergeCell ref="D827:J827"/>
    <mergeCell ref="D828:M828"/>
    <mergeCell ref="D831:J831"/>
    <mergeCell ref="D794:M794"/>
    <mergeCell ref="D797:J797"/>
    <mergeCell ref="D798:M798"/>
    <mergeCell ref="D801:J801"/>
    <mergeCell ref="D802:M802"/>
    <mergeCell ref="D805:J805"/>
    <mergeCell ref="D806:M806"/>
    <mergeCell ref="D809:J809"/>
    <mergeCell ref="D810:M810"/>
    <mergeCell ref="D774:M774"/>
    <mergeCell ref="D778:J778"/>
    <mergeCell ref="D779:J779"/>
    <mergeCell ref="D780:M780"/>
    <mergeCell ref="D783:J783"/>
    <mergeCell ref="D784:M784"/>
    <mergeCell ref="D787:J787"/>
    <mergeCell ref="D788:M788"/>
    <mergeCell ref="D793:J793"/>
    <mergeCell ref="D755:J755"/>
    <mergeCell ref="D756:M756"/>
    <mergeCell ref="D760:J760"/>
    <mergeCell ref="D761:M761"/>
    <mergeCell ref="D764:J764"/>
    <mergeCell ref="D765:M765"/>
    <mergeCell ref="D768:J768"/>
    <mergeCell ref="D769:M769"/>
    <mergeCell ref="D773:J773"/>
    <mergeCell ref="D723:M723"/>
    <mergeCell ref="D726:J726"/>
    <mergeCell ref="D727:M727"/>
    <mergeCell ref="D742:J742"/>
    <mergeCell ref="D743:M743"/>
    <mergeCell ref="D746:J746"/>
    <mergeCell ref="D747:M747"/>
    <mergeCell ref="D750:J750"/>
    <mergeCell ref="D751:M751"/>
    <mergeCell ref="D689:J689"/>
    <mergeCell ref="D690:M690"/>
    <mergeCell ref="D694:J694"/>
    <mergeCell ref="D695:M695"/>
    <mergeCell ref="D704:J704"/>
    <mergeCell ref="D705:M705"/>
    <mergeCell ref="D715:J715"/>
    <mergeCell ref="D716:M716"/>
    <mergeCell ref="D722:J722"/>
    <mergeCell ref="D650:M650"/>
    <mergeCell ref="D658:J658"/>
    <mergeCell ref="D659:M659"/>
    <mergeCell ref="D667:J667"/>
    <mergeCell ref="D668:M668"/>
    <mergeCell ref="D676:J676"/>
    <mergeCell ref="D677:M677"/>
    <mergeCell ref="D685:J685"/>
    <mergeCell ref="D686:M686"/>
    <mergeCell ref="D629:M629"/>
    <mergeCell ref="D635:J635"/>
    <mergeCell ref="D636:M636"/>
    <mergeCell ref="D639:J639"/>
    <mergeCell ref="D640:M640"/>
    <mergeCell ref="D643:J643"/>
    <mergeCell ref="D644:M644"/>
    <mergeCell ref="D648:J648"/>
    <mergeCell ref="D649:J649"/>
    <mergeCell ref="D592:J592"/>
    <mergeCell ref="D593:M593"/>
    <mergeCell ref="D602:J602"/>
    <mergeCell ref="D603:M603"/>
    <mergeCell ref="D618:J618"/>
    <mergeCell ref="D619:M619"/>
    <mergeCell ref="D624:J624"/>
    <mergeCell ref="D625:M625"/>
    <mergeCell ref="D628:J628"/>
    <mergeCell ref="D554:M554"/>
    <mergeCell ref="D560:J560"/>
    <mergeCell ref="D561:M561"/>
    <mergeCell ref="D565:J565"/>
    <mergeCell ref="D566:M566"/>
    <mergeCell ref="D577:J577"/>
    <mergeCell ref="D578:M578"/>
    <mergeCell ref="D585:J585"/>
    <mergeCell ref="D586:M586"/>
    <mergeCell ref="D509:M509"/>
    <mergeCell ref="D516:J516"/>
    <mergeCell ref="D517:M517"/>
    <mergeCell ref="D537:J537"/>
    <mergeCell ref="D538:M538"/>
    <mergeCell ref="D547:J547"/>
    <mergeCell ref="D548:M548"/>
    <mergeCell ref="D552:J552"/>
    <mergeCell ref="D553:J553"/>
    <mergeCell ref="D463:J463"/>
    <mergeCell ref="D464:M464"/>
    <mergeCell ref="D479:J479"/>
    <mergeCell ref="D480:M480"/>
    <mergeCell ref="D484:J484"/>
    <mergeCell ref="D485:M485"/>
    <mergeCell ref="D498:J498"/>
    <mergeCell ref="D499:M499"/>
    <mergeCell ref="D508:J508"/>
    <mergeCell ref="D396:M396"/>
    <mergeCell ref="D405:J405"/>
    <mergeCell ref="D406:M406"/>
    <mergeCell ref="D413:J413"/>
    <mergeCell ref="D414:M414"/>
    <mergeCell ref="D446:J446"/>
    <mergeCell ref="D447:M447"/>
    <mergeCell ref="D451:J451"/>
    <mergeCell ref="D452:M452"/>
    <mergeCell ref="D367:M367"/>
    <mergeCell ref="D371:J371"/>
    <mergeCell ref="D372:J372"/>
    <mergeCell ref="D373:M373"/>
    <mergeCell ref="D383:J383"/>
    <mergeCell ref="D384:M384"/>
    <mergeCell ref="D391:J391"/>
    <mergeCell ref="D392:M392"/>
    <mergeCell ref="D395:J395"/>
    <mergeCell ref="D350:J350"/>
    <mergeCell ref="D351:M351"/>
    <mergeCell ref="D354:J354"/>
    <mergeCell ref="D355:M355"/>
    <mergeCell ref="D358:J358"/>
    <mergeCell ref="D359:M359"/>
    <mergeCell ref="D362:J362"/>
    <mergeCell ref="D363:M363"/>
    <mergeCell ref="D366:J366"/>
    <mergeCell ref="D321:M321"/>
    <mergeCell ref="D326:J326"/>
    <mergeCell ref="D327:M327"/>
    <mergeCell ref="D335:J335"/>
    <mergeCell ref="D336:M336"/>
    <mergeCell ref="D342:J342"/>
    <mergeCell ref="D343:M343"/>
    <mergeCell ref="D346:J346"/>
    <mergeCell ref="D347:M347"/>
    <mergeCell ref="D286:J286"/>
    <mergeCell ref="D287:M287"/>
    <mergeCell ref="D290:J290"/>
    <mergeCell ref="D291:M291"/>
    <mergeCell ref="D299:J299"/>
    <mergeCell ref="D300:M300"/>
    <mergeCell ref="D316:J316"/>
    <mergeCell ref="D317:M317"/>
    <mergeCell ref="D320:J320"/>
    <mergeCell ref="D260:J260"/>
    <mergeCell ref="D261:M261"/>
    <mergeCell ref="D264:J264"/>
    <mergeCell ref="D265:M265"/>
    <mergeCell ref="D272:J272"/>
    <mergeCell ref="D273:M273"/>
    <mergeCell ref="D281:J281"/>
    <mergeCell ref="D282:J282"/>
    <mergeCell ref="D283:M283"/>
    <mergeCell ref="D236:M236"/>
    <mergeCell ref="D239:J239"/>
    <mergeCell ref="D240:M240"/>
    <mergeCell ref="D243:J243"/>
    <mergeCell ref="D244:M244"/>
    <mergeCell ref="D247:J247"/>
    <mergeCell ref="D248:M248"/>
    <mergeCell ref="D251:J251"/>
    <mergeCell ref="D252:M252"/>
    <mergeCell ref="D219:J219"/>
    <mergeCell ref="D220:M220"/>
    <mergeCell ref="D223:J223"/>
    <mergeCell ref="D224:M224"/>
    <mergeCell ref="D227:J227"/>
    <mergeCell ref="D228:M228"/>
    <mergeCell ref="D231:J231"/>
    <mergeCell ref="D232:M232"/>
    <mergeCell ref="D235:J235"/>
    <mergeCell ref="D194:M194"/>
    <mergeCell ref="D197:J197"/>
    <mergeCell ref="D198:M198"/>
    <mergeCell ref="D205:J205"/>
    <mergeCell ref="D206:M206"/>
    <mergeCell ref="D211:J211"/>
    <mergeCell ref="D212:M212"/>
    <mergeCell ref="D215:J215"/>
    <mergeCell ref="D216:M216"/>
    <mergeCell ref="D169:M169"/>
    <mergeCell ref="D174:J174"/>
    <mergeCell ref="D175:J175"/>
    <mergeCell ref="D176:M176"/>
    <mergeCell ref="D183:J183"/>
    <mergeCell ref="D184:M184"/>
    <mergeCell ref="D188:J188"/>
    <mergeCell ref="D189:M189"/>
    <mergeCell ref="D193:J193"/>
    <mergeCell ref="D144:M144"/>
    <mergeCell ref="D149:J149"/>
    <mergeCell ref="D150:M150"/>
    <mergeCell ref="D154:J154"/>
    <mergeCell ref="D155:M155"/>
    <mergeCell ref="D163:J163"/>
    <mergeCell ref="D164:J164"/>
    <mergeCell ref="D165:M165"/>
    <mergeCell ref="D168:J168"/>
    <mergeCell ref="D111:J111"/>
    <mergeCell ref="D112:M112"/>
    <mergeCell ref="D120:J120"/>
    <mergeCell ref="D121:M121"/>
    <mergeCell ref="D130:J130"/>
    <mergeCell ref="D131:M131"/>
    <mergeCell ref="D138:J138"/>
    <mergeCell ref="D139:M139"/>
    <mergeCell ref="D143:J143"/>
    <mergeCell ref="D83:J83"/>
    <mergeCell ref="D84:M84"/>
    <mergeCell ref="D87:J87"/>
    <mergeCell ref="D88:M88"/>
    <mergeCell ref="D98:J98"/>
    <mergeCell ref="D99:J99"/>
    <mergeCell ref="D100:J100"/>
    <mergeCell ref="D101:M101"/>
    <mergeCell ref="D110:J110"/>
    <mergeCell ref="D65:J65"/>
    <mergeCell ref="D66:J66"/>
    <mergeCell ref="D67:M67"/>
    <mergeCell ref="D68:J68"/>
    <mergeCell ref="D69:M69"/>
    <mergeCell ref="D74:J74"/>
    <mergeCell ref="D75:M75"/>
    <mergeCell ref="D79:J79"/>
    <mergeCell ref="D80:M80"/>
    <mergeCell ref="D43:M43"/>
    <mergeCell ref="D46:J46"/>
    <mergeCell ref="D47:M47"/>
    <mergeCell ref="D52:J52"/>
    <mergeCell ref="D53:J53"/>
    <mergeCell ref="D54:M54"/>
    <mergeCell ref="D58:J58"/>
    <mergeCell ref="D59:J59"/>
    <mergeCell ref="D60:M60"/>
    <mergeCell ref="D18:J18"/>
    <mergeCell ref="D19:J19"/>
    <mergeCell ref="D20:M20"/>
    <mergeCell ref="D25:J25"/>
    <mergeCell ref="D26:J26"/>
    <mergeCell ref="D27:M27"/>
    <mergeCell ref="D38:J38"/>
    <mergeCell ref="D39:M39"/>
    <mergeCell ref="D42:J42"/>
    <mergeCell ref="B1:M1"/>
    <mergeCell ref="A2:C2"/>
    <mergeCell ref="D4:J4"/>
    <mergeCell ref="D5:J5"/>
    <mergeCell ref="D6:J6"/>
    <mergeCell ref="D7:J7"/>
    <mergeCell ref="D8:M8"/>
    <mergeCell ref="D11:J11"/>
    <mergeCell ref="D12:M12"/>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Gimo sl 2</cp:lastModifiedBy>
  <dcterms:modified xsi:type="dcterms:W3CDTF">2025-10-29T11:47:11Z</dcterms:modified>
</cp:coreProperties>
</file>